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491" windowWidth="12120" windowHeight="9120" tabRatio="954" activeTab="3"/>
  </bookViews>
  <sheets>
    <sheet name="MARCO_EQUIVALENTE" sheetId="1" r:id="rId1"/>
    <sheet name="CROSS_1.4cm+1.7cv" sheetId="2" r:id="rId2"/>
    <sheet name="CROSS_(1.4cm+1.7cv) fca" sheetId="3" r:id="rId3"/>
    <sheet name="ACERO DE REFUERZO" sheetId="4" r:id="rId4"/>
  </sheets>
  <definedNames>
    <definedName name="a">#REF!</definedName>
    <definedName name="Ac">#REF!</definedName>
    <definedName name="ALTURA">#REF!</definedName>
    <definedName name="Ap">#REF!</definedName>
    <definedName name="As">#REF!</definedName>
    <definedName name="Ass">#REF!</definedName>
    <definedName name="At">#REF!</definedName>
    <definedName name="Az">#REF!</definedName>
    <definedName name="b0">#REF!</definedName>
    <definedName name="bo">#REF!</definedName>
    <definedName name="ComFact">#REF!</definedName>
    <definedName name="Comp">#REF!</definedName>
    <definedName name="Cx">#REF!</definedName>
    <definedName name="Cy">#REF!</definedName>
    <definedName name="d">#REF!</definedName>
    <definedName name="Dado">#REF!</definedName>
    <definedName name="DencA">#REF!</definedName>
    <definedName name="DencC">#REF!</definedName>
    <definedName name="DencT">#REF!</definedName>
    <definedName name="Df">#REF!</definedName>
    <definedName name="Dist.">#REF!</definedName>
    <definedName name="e">#REF!</definedName>
    <definedName name="Esf._Suelo">#REF!</definedName>
    <definedName name="Esf_Act.">#REF!</definedName>
    <definedName name="Esf1">#REF!</definedName>
    <definedName name="Esf2">#REF!</definedName>
    <definedName name="Fact">#REF!</definedName>
    <definedName name="fc">#REF!</definedName>
    <definedName name="FRM">#REF!</definedName>
    <definedName name="FSV">#REF!</definedName>
    <definedName name="Fx">#REF!</definedName>
    <definedName name="Fy">#REF!</definedName>
    <definedName name="Fysteel">#REF!</definedName>
    <definedName name="Ix">#REF!</definedName>
    <definedName name="Iy">#REF!</definedName>
    <definedName name="Ma">#REF!</definedName>
    <definedName name="MAYOR">#REF!</definedName>
    <definedName name="MENOR">#REF!</definedName>
    <definedName name="Mneg">#REF!</definedName>
    <definedName name="Mpos">#REF!</definedName>
    <definedName name="Mr">#REF!</definedName>
    <definedName name="Mrx">#REF!</definedName>
    <definedName name="Mu">#REF!</definedName>
    <definedName name="Mu1">#REF!</definedName>
    <definedName name="Mv">#REF!</definedName>
    <definedName name="Mx">#REF!</definedName>
    <definedName name="Mxa">#REF!</definedName>
    <definedName name="Mxre">#REF!</definedName>
    <definedName name="Mxrp1">#REF!</definedName>
    <definedName name="Mxrp2">#REF!</definedName>
    <definedName name="Mxrp3">#REF!</definedName>
    <definedName name="Mxrt">#REF!</definedName>
    <definedName name="Mxrz">#REF!</definedName>
    <definedName name="My">#REF!</definedName>
    <definedName name="Mya">#REF!</definedName>
    <definedName name="Myr">#REF!</definedName>
    <definedName name="Myre">#REF!</definedName>
    <definedName name="Myrp1">#REF!</definedName>
    <definedName name="Myrp2">#REF!</definedName>
    <definedName name="Myrp3">#REF!</definedName>
    <definedName name="Myrt">#REF!</definedName>
    <definedName name="Myrz">#REF!</definedName>
    <definedName name="No">#REF!</definedName>
    <definedName name="Pcom">#REF!</definedName>
    <definedName name="PERALTE">#REF!</definedName>
    <definedName name="Pflex">#REF!</definedName>
    <definedName name="Pflex2">#REF!</definedName>
    <definedName name="PMAYOR">#REF!</definedName>
    <definedName name="PMENOR">#REF!</definedName>
    <definedName name="_xlnm.Print_Area" localSheetId="3">'ACERO DE REFUERZO'!$A$1:$AW$173</definedName>
    <definedName name="_xlnm.Print_Area" localSheetId="2">'CROSS_(1.4cm+1.7cv) fca'!$A$1:$Y$85</definedName>
    <definedName name="_xlnm.Print_Area" localSheetId="1">'CROSS_1.4cm+1.7cv'!$A$1:$Y$85</definedName>
    <definedName name="_xlnm.Print_Area" localSheetId="0">'MARCO_EQUIVALENTE'!$A$1:$CC$101</definedName>
    <definedName name="qa">#REF!</definedName>
    <definedName name="Rec">#REF!</definedName>
    <definedName name="Ro">#REF!</definedName>
    <definedName name="Roo">#REF!</definedName>
    <definedName name="Tens">#REF!</definedName>
    <definedName name="Vc">#REF!</definedName>
    <definedName name="Vc2">#REF!</definedName>
    <definedName name="Volteo">#REF!</definedName>
    <definedName name="Vp">#REF!</definedName>
    <definedName name="Vt">#REF!</definedName>
    <definedName name="Vu">#REF!</definedName>
    <definedName name="Vu2">#REF!</definedName>
    <definedName name="Vud">#REF!</definedName>
    <definedName name="Vud2">#REF!</definedName>
    <definedName name="Vz">#REF!</definedName>
    <definedName name="w">#REF!</definedName>
    <definedName name="Wequipo">#REF!</definedName>
    <definedName name="Wp">#REF!</definedName>
    <definedName name="Wt">#REF!</definedName>
    <definedName name="Wtot">#REF!</definedName>
    <definedName name="Wu">#REF!</definedName>
    <definedName name="Ww">#REF!</definedName>
    <definedName name="Wz">#REF!</definedName>
    <definedName name="XDOS">#REF!</definedName>
    <definedName name="XTRES">#REF!</definedName>
    <definedName name="XUNO">#REF!</definedName>
    <definedName name="Ydos">#REF!</definedName>
    <definedName name="Yuno">#REF!</definedName>
    <definedName name="ZMAYOR">#REF!</definedName>
  </definedNames>
  <calcPr fullCalcOnLoad="1"/>
</workbook>
</file>

<file path=xl/comments1.xml><?xml version="1.0" encoding="utf-8"?>
<comments xmlns="http://schemas.openxmlformats.org/spreadsheetml/2006/main">
  <authors>
    <author>Ramirez Celada &amp; Asociados</author>
  </authors>
  <commentList>
    <comment ref="G17" authorId="0">
      <text>
        <r>
          <rPr>
            <sz val="8"/>
            <rFont val="Tahoma"/>
            <family val="0"/>
          </rPr>
          <t xml:space="preserve">puede ser de :
0.025m de espesor
</t>
        </r>
      </text>
    </comment>
    <comment ref="G19" authorId="0">
      <text>
        <r>
          <rPr>
            <b/>
            <sz val="8"/>
            <rFont val="Tahoma"/>
            <family val="0"/>
          </rPr>
          <t>puede ser de :
0.050 m de espesor</t>
        </r>
      </text>
    </comment>
    <comment ref="G18" authorId="0">
      <text>
        <r>
          <rPr>
            <b/>
            <sz val="8"/>
            <rFont val="Tahoma"/>
            <family val="0"/>
          </rPr>
          <t>puede ser de :</t>
        </r>
        <r>
          <rPr>
            <sz val="8"/>
            <rFont val="Tahoma"/>
            <family val="0"/>
          </rPr>
          <t xml:space="preserve">
20 kg/m²</t>
        </r>
      </text>
    </comment>
    <comment ref="G8" authorId="0">
      <text>
        <r>
          <rPr>
            <b/>
            <sz val="8"/>
            <rFont val="Tahoma"/>
            <family val="0"/>
          </rPr>
          <t>ver: peraltes opcionales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8"/>
            <rFont val="Tahoma"/>
            <family val="0"/>
          </rPr>
          <t>por lo general siempre es de 60 cm, osea dos b.block de 30 pegados o un aligerante de 60cm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<sst xmlns="http://schemas.openxmlformats.org/spreadsheetml/2006/main" count="878" uniqueCount="318">
  <si>
    <t>Fy</t>
  </si>
  <si>
    <t>m</t>
  </si>
  <si>
    <t>T</t>
  </si>
  <si>
    <t>cm</t>
  </si>
  <si>
    <t>A</t>
  </si>
  <si>
    <t>=</t>
  </si>
  <si>
    <t>B</t>
  </si>
  <si>
    <t>L =</t>
  </si>
  <si>
    <t>kg/cm²</t>
  </si>
  <si>
    <t>kg-m</t>
  </si>
  <si>
    <t>f'c</t>
  </si>
  <si>
    <t>&lt;</t>
  </si>
  <si>
    <t>+</t>
  </si>
  <si>
    <t>kg/m²</t>
  </si>
  <si>
    <t>kg/m</t>
  </si>
  <si>
    <t>kg/m³</t>
  </si>
  <si>
    <t>m³</t>
  </si>
  <si>
    <t>Rec.</t>
  </si>
  <si>
    <t>K =</t>
  </si>
  <si>
    <t>x</t>
  </si>
  <si>
    <t>y</t>
  </si>
  <si>
    <t>l</t>
  </si>
  <si>
    <t>dmin=</t>
  </si>
  <si>
    <t>sin abacos</t>
  </si>
  <si>
    <t>con abacos</t>
  </si>
  <si>
    <t>&gt;=</t>
  </si>
  <si>
    <t>fs= 0.6Fy</t>
  </si>
  <si>
    <t>k= 0.00075(fs w)^0.25 =</t>
  </si>
  <si>
    <t>k= 0.0006(fs w)^0.25 =</t>
  </si>
  <si>
    <t>cm =</t>
  </si>
  <si>
    <t>cv =</t>
  </si>
  <si>
    <t>entrepiso</t>
  </si>
  <si>
    <t>Entrepiso</t>
  </si>
  <si>
    <t>Materiales</t>
  </si>
  <si>
    <t>w = cm + cv =</t>
  </si>
  <si>
    <t>paralela a "l"</t>
  </si>
  <si>
    <t>c = dim.de col. o capitel</t>
  </si>
  <si>
    <t>2.- Peralte minimo de la losa</t>
  </si>
  <si>
    <t>1.- Evaluacion de cargas</t>
  </si>
  <si>
    <t>aligerante</t>
  </si>
  <si>
    <t>vol. De aligerante =</t>
  </si>
  <si>
    <t>vol. De concreto =</t>
  </si>
  <si>
    <t>vol. Total =</t>
  </si>
  <si>
    <t>ancho</t>
  </si>
  <si>
    <t>largo</t>
  </si>
  <si>
    <t>peralte</t>
  </si>
  <si>
    <r>
      <t xml:space="preserve">a </t>
    </r>
    <r>
      <rPr>
        <sz val="8"/>
        <rFont val="Arial"/>
        <family val="2"/>
      </rPr>
      <t>c</t>
    </r>
  </si>
  <si>
    <t>peso del aligerante =</t>
  </si>
  <si>
    <t>B_block 10x30x20</t>
  </si>
  <si>
    <t>B_block 15x30x20</t>
  </si>
  <si>
    <t>B_block 20x30x20</t>
  </si>
  <si>
    <t>Hielo seco 60x60x20</t>
  </si>
  <si>
    <t>peso ( kg/m² )</t>
  </si>
  <si>
    <t>piso =</t>
  </si>
  <si>
    <t>plafon =</t>
  </si>
  <si>
    <t>peso del concreto =</t>
  </si>
  <si>
    <t>relleno p/ pendiente =</t>
  </si>
  <si>
    <r>
      <t xml:space="preserve">a </t>
    </r>
    <r>
      <rPr>
        <sz val="8"/>
        <rFont val="Arial"/>
        <family val="2"/>
      </rPr>
      <t>acabados</t>
    </r>
  </si>
  <si>
    <t>instalaciones =</t>
  </si>
  <si>
    <t>sobrecargas =</t>
  </si>
  <si>
    <t>Wm</t>
  </si>
  <si>
    <t>a).- Carga muerta</t>
  </si>
  <si>
    <t>(Asignese según reglamento para el uso del lugar.)</t>
  </si>
  <si>
    <t>b).- Carga viva</t>
  </si>
  <si>
    <t>3.- Analisis Estructural</t>
  </si>
  <si>
    <t>fca</t>
  </si>
  <si>
    <t>distancia ente marcos longitudinal ( cm )</t>
  </si>
  <si>
    <t>distancia entre marcos transversal ( cm )</t>
  </si>
  <si>
    <t>Ancho equivalente ( cm )</t>
  </si>
  <si>
    <t>Vista en planta</t>
  </si>
  <si>
    <t>C</t>
  </si>
  <si>
    <t>D</t>
  </si>
  <si>
    <t>E</t>
  </si>
  <si>
    <t>EJE =</t>
  </si>
  <si>
    <t>peralte opcional</t>
  </si>
  <si>
    <t>peralte total de losa</t>
  </si>
  <si>
    <t>losa</t>
  </si>
  <si>
    <t>viga</t>
  </si>
  <si>
    <t>cm^4</t>
  </si>
  <si>
    <t>peralte total de ABACO incluyendo losa =</t>
  </si>
  <si>
    <t>peralte total de VIGA incluyendo losa =</t>
  </si>
  <si>
    <t>abaco</t>
  </si>
  <si>
    <t>ancho de VIGA =</t>
  </si>
  <si>
    <t>ancho de ABACO =</t>
  </si>
  <si>
    <t>inercia de ABACO =</t>
  </si>
  <si>
    <r>
      <t xml:space="preserve">ABACO  </t>
    </r>
    <r>
      <rPr>
        <sz val="8"/>
        <rFont val="Comic Sans MS"/>
        <family val="0"/>
      </rPr>
      <t xml:space="preserve">     SOBRE EJE   #</t>
    </r>
  </si>
  <si>
    <r>
      <t xml:space="preserve"> VIGA</t>
    </r>
    <r>
      <rPr>
        <sz val="8"/>
        <rFont val="Comic Sans MS"/>
        <family val="0"/>
      </rPr>
      <t xml:space="preserve">          SOBRE EJE   #</t>
    </r>
  </si>
  <si>
    <r>
      <t xml:space="preserve">ZONA ALIGERADA </t>
    </r>
    <r>
      <rPr>
        <sz val="8"/>
        <rFont val="Comic Sans MS"/>
        <family val="0"/>
      </rPr>
      <t>SOBRE EJE   #</t>
    </r>
  </si>
  <si>
    <t>Ancho de calle =</t>
  </si>
  <si>
    <t>Ancho de aligerante =</t>
  </si>
  <si>
    <t>espesor de concreto =</t>
  </si>
  <si>
    <t>elemento</t>
  </si>
  <si>
    <t>calle</t>
  </si>
  <si>
    <t>brazo</t>
  </si>
  <si>
    <t>y cm</t>
  </si>
  <si>
    <t>inercia de la ZONA ALIGERADA :</t>
  </si>
  <si>
    <t>Inercia cm^4</t>
  </si>
  <si>
    <t>a x brazo</t>
  </si>
  <si>
    <r>
      <t xml:space="preserve">base </t>
    </r>
    <r>
      <rPr>
        <b/>
        <sz val="8"/>
        <rFont val="Comic Sans MS"/>
        <family val="4"/>
      </rPr>
      <t>b</t>
    </r>
  </si>
  <si>
    <r>
      <t xml:space="preserve">altura </t>
    </r>
    <r>
      <rPr>
        <b/>
        <sz val="8"/>
        <rFont val="Comic Sans MS"/>
        <family val="4"/>
      </rPr>
      <t>h</t>
    </r>
  </si>
  <si>
    <r>
      <t>area</t>
    </r>
    <r>
      <rPr>
        <b/>
        <sz val="8"/>
        <rFont val="Comic Sans MS"/>
        <family val="4"/>
      </rPr>
      <t xml:space="preserve"> a</t>
    </r>
  </si>
  <si>
    <t>a x d^2</t>
  </si>
  <si>
    <t>b x h^3 / 12</t>
  </si>
  <si>
    <t>inercia de VIGA menos inercia de nervadura =</t>
  </si>
  <si>
    <t>nervadura</t>
  </si>
  <si>
    <t>calculo de la rigidez a flexion y del factor de transporte :</t>
  </si>
  <si>
    <r>
      <t>l</t>
    </r>
    <r>
      <rPr>
        <sz val="6"/>
        <rFont val="Comic Sans MS"/>
        <family val="4"/>
      </rPr>
      <t>1</t>
    </r>
  </si>
  <si>
    <r>
      <t>l</t>
    </r>
    <r>
      <rPr>
        <sz val="6"/>
        <rFont val="Comic Sans MS"/>
        <family val="4"/>
      </rPr>
      <t>2</t>
    </r>
  </si>
  <si>
    <t>l=</t>
  </si>
  <si>
    <r>
      <t xml:space="preserve">l </t>
    </r>
    <r>
      <rPr>
        <sz val="6"/>
        <rFont val="Symbol"/>
        <family val="1"/>
      </rPr>
      <t xml:space="preserve">1 </t>
    </r>
  </si>
  <si>
    <t>l 2</t>
  </si>
  <si>
    <r>
      <t xml:space="preserve">l </t>
    </r>
    <r>
      <rPr>
        <sz val="8"/>
        <rFont val="Arial"/>
        <family val="2"/>
      </rPr>
      <t>prom</t>
    </r>
  </si>
  <si>
    <t>Rigidez a flexion  "K"</t>
  </si>
  <si>
    <r>
      <t xml:space="preserve">q </t>
    </r>
    <r>
      <rPr>
        <sz val="8"/>
        <rFont val="Arial"/>
        <family val="2"/>
      </rPr>
      <t>AA</t>
    </r>
    <r>
      <rPr>
        <sz val="10"/>
        <rFont val="Arial"/>
        <family val="2"/>
      </rPr>
      <t xml:space="preserve"> / ( </t>
    </r>
    <r>
      <rPr>
        <sz val="10"/>
        <rFont val="Symbol"/>
        <family val="1"/>
      </rPr>
      <t>q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AA</t>
    </r>
    <r>
      <rPr>
        <sz val="10"/>
        <rFont val="Arial"/>
        <family val="2"/>
      </rPr>
      <t xml:space="preserve">² - </t>
    </r>
    <r>
      <rPr>
        <sz val="10"/>
        <rFont val="Symbol"/>
        <family val="1"/>
      </rPr>
      <t>q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BB</t>
    </r>
    <r>
      <rPr>
        <sz val="10"/>
        <rFont val="Arial"/>
        <family val="2"/>
      </rPr>
      <t>²)</t>
    </r>
  </si>
  <si>
    <t>I aligerada</t>
  </si>
  <si>
    <t>I viga</t>
  </si>
  <si>
    <r>
      <t xml:space="preserve">q </t>
    </r>
    <r>
      <rPr>
        <sz val="8"/>
        <rFont val="Arial"/>
        <family val="2"/>
      </rPr>
      <t>AA</t>
    </r>
    <r>
      <rPr>
        <sz val="10"/>
        <rFont val="Arial"/>
        <family val="2"/>
      </rPr>
      <t xml:space="preserve"> =</t>
    </r>
  </si>
  <si>
    <t>10^4 E</t>
  </si>
  <si>
    <r>
      <t xml:space="preserve">q </t>
    </r>
    <r>
      <rPr>
        <sz val="8"/>
        <rFont val="Arial"/>
        <family val="2"/>
      </rPr>
      <t>AB</t>
    </r>
    <r>
      <rPr>
        <sz val="10"/>
        <rFont val="Arial"/>
        <family val="2"/>
      </rPr>
      <t xml:space="preserve"> =</t>
    </r>
  </si>
  <si>
    <t>x 10^4 E</t>
  </si>
  <si>
    <t>FT =</t>
  </si>
  <si>
    <t>Elevacion</t>
  </si>
  <si>
    <t>Wu =</t>
  </si>
  <si>
    <t>Momento de empotramiento perfecto</t>
  </si>
  <si>
    <t>M =</t>
  </si>
  <si>
    <t>q A</t>
  </si>
  <si>
    <t>q AA</t>
  </si>
  <si>
    <t>q AB</t>
  </si>
  <si>
    <t>q A =</t>
  </si>
  <si>
    <t>Wu l²</t>
  </si>
  <si>
    <t>Rigedes para las columnas</t>
  </si>
  <si>
    <t>I =</t>
  </si>
  <si>
    <t>bh³ /12 =</t>
  </si>
  <si>
    <t>4 E I / L =</t>
  </si>
  <si>
    <t>para columna nivel 0-1</t>
  </si>
  <si>
    <t>para columna nivel 1-2</t>
  </si>
  <si>
    <t>K efectiva =</t>
  </si>
  <si>
    <t>0.5 K =</t>
  </si>
  <si>
    <t>&gt;</t>
  </si>
  <si>
    <t>teclear distancia</t>
  </si>
  <si>
    <t>Factor de carga muerta =</t>
  </si>
  <si>
    <t>Factor de carga viva =</t>
  </si>
  <si>
    <t>Factor de cargas accidentales=</t>
  </si>
  <si>
    <t>M ( + ) =</t>
  </si>
  <si>
    <t>M ( - ) =</t>
  </si>
  <si>
    <t>I</t>
  </si>
  <si>
    <t>a).- Carga Vertical :</t>
  </si>
  <si>
    <t>Ancho equivalente de la viga :</t>
  </si>
  <si>
    <t>b).- Cargas laterales</t>
  </si>
  <si>
    <r>
      <t xml:space="preserve">Revision del marco </t>
    </r>
    <r>
      <rPr>
        <b/>
        <u val="single"/>
        <sz val="8"/>
        <rFont val="Comic Sans MS"/>
        <family val="4"/>
      </rPr>
      <t>longitudinal</t>
    </r>
    <r>
      <rPr>
        <u val="single"/>
        <sz val="8"/>
        <rFont val="Comic Sans MS"/>
        <family val="4"/>
      </rPr>
      <t xml:space="preserve"> para su mayor ancho equivalente de :</t>
    </r>
  </si>
  <si>
    <t>Ancho equivalente de la viga</t>
  </si>
  <si>
    <t>b = C2 + 3h =</t>
  </si>
  <si>
    <t>Seccion en el abaco</t>
  </si>
  <si>
    <t>Seccion sobre la zona aligerada</t>
  </si>
  <si>
    <t>para la seccion en el abaco</t>
  </si>
  <si>
    <t>I2 =</t>
  </si>
  <si>
    <t>para la seccion en la zona aligerada</t>
  </si>
  <si>
    <r>
      <t>dist c-c</t>
    </r>
    <r>
      <rPr>
        <b/>
        <sz val="6"/>
        <rFont val="Comic Sans MS"/>
        <family val="4"/>
      </rPr>
      <t xml:space="preserve"> d</t>
    </r>
  </si>
  <si>
    <r>
      <t xml:space="preserve">area </t>
    </r>
    <r>
      <rPr>
        <b/>
        <sz val="8"/>
        <rFont val="Comic Sans MS"/>
        <family val="4"/>
      </rPr>
      <t>a</t>
    </r>
  </si>
  <si>
    <r>
      <t xml:space="preserve">dist c-c  </t>
    </r>
    <r>
      <rPr>
        <b/>
        <sz val="8"/>
        <rFont val="Comic Sans MS"/>
        <family val="4"/>
      </rPr>
      <t>d</t>
    </r>
  </si>
  <si>
    <t>I1 =</t>
  </si>
  <si>
    <t>DATOS OBTENIDOS DEL  ANALISIS  POR EL METODO DEL MARCO EQUIVALENTE</t>
  </si>
  <si>
    <t>K_col_sup. =</t>
  </si>
  <si>
    <t>K_col_inf. =</t>
  </si>
  <si>
    <t>K_viga_losa =</t>
  </si>
  <si>
    <t>FT_viga_losa =</t>
  </si>
  <si>
    <t>M emp. = Wl²/</t>
  </si>
  <si>
    <t>Vd</t>
  </si>
  <si>
    <t>Ksup</t>
  </si>
  <si>
    <t>Kinf</t>
  </si>
  <si>
    <t>FD</t>
  </si>
  <si>
    <t>M emp.</t>
  </si>
  <si>
    <t>Vi</t>
  </si>
  <si>
    <t>cantiliver</t>
  </si>
  <si>
    <t>K inf</t>
  </si>
  <si>
    <t>K sup</t>
  </si>
  <si>
    <t>FD_col.sup =</t>
  </si>
  <si>
    <t>FD_col.inf =</t>
  </si>
  <si>
    <t>Momentos a paño de columna</t>
  </si>
  <si>
    <t>MOM. COL. SUPERIOR =</t>
  </si>
  <si>
    <t>MOM. COL. INFERIOR =</t>
  </si>
  <si>
    <t>ANALISIS DE LOSA POR EL METODO DE CROSS</t>
  </si>
  <si>
    <t>Vrs #</t>
  </si>
  <si>
    <t>DIAM.</t>
  </si>
  <si>
    <t>AREA</t>
  </si>
  <si>
    <t>5/16"</t>
  </si>
  <si>
    <t>3/8"</t>
  </si>
  <si>
    <t>1/2"</t>
  </si>
  <si>
    <t>5/8"</t>
  </si>
  <si>
    <t>3/4"</t>
  </si>
  <si>
    <t>7/8"</t>
  </si>
  <si>
    <t>1"</t>
  </si>
  <si>
    <t>1 1/8"</t>
  </si>
  <si>
    <t>1 1/4"</t>
  </si>
  <si>
    <t>1 1/2"</t>
  </si>
  <si>
    <t>Mu =</t>
  </si>
  <si>
    <t>w = 0.847-(0.719-(Mu/0.53f'cbd²))^0.5</t>
  </si>
  <si>
    <r>
      <t xml:space="preserve">r </t>
    </r>
    <r>
      <rPr>
        <sz val="10"/>
        <rFont val="Arial"/>
        <family val="0"/>
      </rPr>
      <t>= w (f'c/Fy)</t>
    </r>
  </si>
  <si>
    <t>(Por flexion)</t>
  </si>
  <si>
    <r>
      <t xml:space="preserve">As =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b d</t>
    </r>
  </si>
  <si>
    <t>vr #</t>
  </si>
  <si>
    <t>diam.</t>
  </si>
  <si>
    <t>Area</t>
  </si>
  <si>
    <t>N° vr.</t>
  </si>
  <si>
    <t>A real</t>
  </si>
  <si>
    <t>usar :</t>
  </si>
  <si>
    <t>f'c =</t>
  </si>
  <si>
    <t>b =</t>
  </si>
  <si>
    <t>d =</t>
  </si>
  <si>
    <t>Fy =</t>
  </si>
  <si>
    <t>del   #</t>
  </si>
  <si>
    <t>cm²</t>
  </si>
  <si>
    <t>Mu ( - ) =</t>
  </si>
  <si>
    <t>b nervadura =</t>
  </si>
  <si>
    <t>d nervadura =</t>
  </si>
  <si>
    <t>REFUERZO EN FRANJA DE COLUMNA PARA  M ( - )</t>
  </si>
  <si>
    <t>c2 + 3h =</t>
  </si>
  <si>
    <t>Franja de col. =</t>
  </si>
  <si>
    <t>debe pasa por el nucleo de la col.</t>
  </si>
  <si>
    <t>min espesor de losa</t>
  </si>
  <si>
    <t>min ancho de nervadura en el eje</t>
  </si>
  <si>
    <t>Al menos el 60% osea :</t>
  </si>
  <si>
    <t>repartidas en la franja de c2+3h y</t>
  </si>
  <si>
    <r>
      <t>Una fraccion igual a (1-</t>
    </r>
    <r>
      <rPr>
        <sz val="8"/>
        <rFont val="Symbol"/>
        <family val="1"/>
      </rPr>
      <t>g</t>
    </r>
    <r>
      <rPr>
        <vertAlign val="subscript"/>
        <sz val="8"/>
        <rFont val="Comic Sans MS"/>
        <family val="4"/>
      </rPr>
      <t>v</t>
    </r>
    <r>
      <rPr>
        <sz val="8"/>
        <rFont val="Comic Sans MS"/>
        <family val="0"/>
      </rPr>
      <t>) Mu debe transferirse por flexion en una franja de ancho c2+3h</t>
    </r>
  </si>
  <si>
    <r>
      <t>g</t>
    </r>
    <r>
      <rPr>
        <vertAlign val="subscript"/>
        <sz val="10"/>
        <rFont val="Arial"/>
        <family val="2"/>
      </rPr>
      <t>v =</t>
    </r>
  </si>
  <si>
    <t>c1 =</t>
  </si>
  <si>
    <t>c2 =</t>
  </si>
  <si>
    <r>
      <t>(1- g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=</t>
    </r>
  </si>
  <si>
    <r>
      <t>(1- g</t>
    </r>
    <r>
      <rPr>
        <vertAlign val="subscript"/>
        <sz val="10"/>
        <rFont val="Arial"/>
        <family val="2"/>
      </rPr>
      <t xml:space="preserve">v 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 xml:space="preserve"> Mu =</t>
    </r>
  </si>
  <si>
    <t>En total usar :</t>
  </si>
  <si>
    <t>REFUERZO EN FRANJA DE COLUMNA PARA  M ( + )</t>
  </si>
  <si>
    <t>Nervaduras existentes en la franja de columna de =</t>
  </si>
  <si>
    <t>hacia la izq.</t>
  </si>
  <si>
    <t xml:space="preserve">hacia la der. </t>
  </si>
  <si>
    <t>b1 =</t>
  </si>
  <si>
    <t>b2 =</t>
  </si>
  <si>
    <t>b3 =</t>
  </si>
  <si>
    <t>b4 =</t>
  </si>
  <si>
    <t>b5 =</t>
  </si>
  <si>
    <r>
      <t xml:space="preserve">As1 =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b1 d</t>
    </r>
  </si>
  <si>
    <t>para nervadura  b1</t>
  </si>
  <si>
    <t>b1</t>
  </si>
  <si>
    <t>b2</t>
  </si>
  <si>
    <t>b3</t>
  </si>
  <si>
    <t>b4</t>
  </si>
  <si>
    <t>b5</t>
  </si>
  <si>
    <t>peralte efectivo losa</t>
  </si>
  <si>
    <t>peralte efectivo viga</t>
  </si>
  <si>
    <r>
      <t xml:space="preserve">As1 =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b2 d</t>
    </r>
  </si>
  <si>
    <r>
      <t xml:space="preserve">As1 =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b3 d</t>
    </r>
  </si>
  <si>
    <r>
      <t xml:space="preserve">As1 =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b4 d</t>
    </r>
  </si>
  <si>
    <r>
      <t xml:space="preserve">As1 = </t>
    </r>
    <r>
      <rPr>
        <sz val="10"/>
        <rFont val="Symbol"/>
        <family val="1"/>
      </rPr>
      <t>r</t>
    </r>
    <r>
      <rPr>
        <sz val="10"/>
        <rFont val="Arial"/>
        <family val="0"/>
      </rPr>
      <t xml:space="preserve"> b5 d</t>
    </r>
  </si>
  <si>
    <t>para nervadura  b2</t>
  </si>
  <si>
    <t>para nervadura  b3</t>
  </si>
  <si>
    <t>para nervadura  b4</t>
  </si>
  <si>
    <t>para nervadura  b5</t>
  </si>
  <si>
    <t>Nervaduras existentes en la franja de central =</t>
  </si>
  <si>
    <t>Mu ( + ) =</t>
  </si>
  <si>
    <t>60 % Mu ( + ) =</t>
  </si>
  <si>
    <r>
      <t xml:space="preserve">a ) .- </t>
    </r>
    <r>
      <rPr>
        <sz val="10"/>
        <rFont val="Comic Sans MS"/>
        <family val="4"/>
      </rPr>
      <t xml:space="preserve"> REFUERZO ( + ) EN FRANJA DE COLUMNA (Ancho de todas las nervaduras en la franja de columnas)</t>
    </r>
  </si>
  <si>
    <t>Ancho de todas las nervaduras en la fja. De col.</t>
  </si>
  <si>
    <t>REFUERZO EN FRANJA CENTRAL PARA  M ( + )</t>
  </si>
  <si>
    <r>
      <t xml:space="preserve">a ) .- </t>
    </r>
    <r>
      <rPr>
        <sz val="10"/>
        <rFont val="Comic Sans MS"/>
        <family val="4"/>
      </rPr>
      <t xml:space="preserve"> REFUERZO ( + ) EN FRANJA CENTRAL (Ancho de todas las nervaduras en la franja central)</t>
    </r>
  </si>
  <si>
    <t>Franja de central. =</t>
  </si>
  <si>
    <t xml:space="preserve">osea: </t>
  </si>
  <si>
    <t>osea entre</t>
  </si>
  <si>
    <t>sum. De nervaduras</t>
  </si>
  <si>
    <t>sum. De huecos</t>
  </si>
  <si>
    <t>verificar que quede "ok"</t>
  </si>
  <si>
    <t>40 % Mu ( + ) =</t>
  </si>
  <si>
    <t>Ancho de todas las nervaduras en la fja.central</t>
  </si>
  <si>
    <t>L.S.</t>
  </si>
  <si>
    <t>para nervadura b1 a la b5 Lecho superior</t>
  </si>
  <si>
    <t>para nervadura b1 lecho inferior ( L.I )</t>
  </si>
  <si>
    <t>para nervadura b2 L.I.</t>
  </si>
  <si>
    <t>para nervadura b3 L.I.</t>
  </si>
  <si>
    <t>para nervadura b4 L.I.</t>
  </si>
  <si>
    <t>para nervadura b5 L.I.</t>
  </si>
  <si>
    <t>para nervadura b1 L.I.</t>
  </si>
  <si>
    <r>
      <t xml:space="preserve">a ) .- </t>
    </r>
    <r>
      <rPr>
        <sz val="10"/>
        <rFont val="Comic Sans MS"/>
        <family val="4"/>
      </rPr>
      <t xml:space="preserve"> REFUERZO( - ) EN FRANJA DE COLUMNA (En franja de c2 + 3h, repartir por lo menos el  60% del refuerzo debe pasar por el nucleo de la col.)</t>
    </r>
  </si>
  <si>
    <r>
      <t xml:space="preserve">b ) .- </t>
    </r>
    <r>
      <rPr>
        <sz val="10"/>
        <rFont val="Comic Sans MS"/>
        <family val="4"/>
      </rPr>
      <t xml:space="preserve"> REFUERZO ( - ) EN FRANJA DE COLUMNA (Fuera de la franja c2+3h hasta completar la franja de col.  colocar el acero min. En las nerv.)</t>
    </r>
  </si>
  <si>
    <t>#</t>
  </si>
  <si>
    <t>@</t>
  </si>
  <si>
    <t>total</t>
  </si>
  <si>
    <t>para nervadura  b1 (viga)</t>
  </si>
  <si>
    <t>Geometria</t>
  </si>
  <si>
    <t>peso</t>
  </si>
  <si>
    <t>c).- Resumen de cargas de servicio :</t>
  </si>
  <si>
    <t>Wu  kg/m²</t>
  </si>
  <si>
    <t>1.4 cm + 1.7 cv</t>
  </si>
  <si>
    <t>&lt; =</t>
  </si>
  <si>
    <t>Si no es menor o igual a 12 tomara por defecto 12 para el calculo de momentos en cross</t>
  </si>
  <si>
    <t xml:space="preserve">= </t>
  </si>
  <si>
    <t>I1</t>
  </si>
  <si>
    <t>proponer arreglo hasta que los extremos queden menor o igual al ancho de hueco y el verificador quede  en "ok"</t>
  </si>
  <si>
    <t>***</t>
  </si>
  <si>
    <t>L ( m ) =</t>
  </si>
  <si>
    <t>(1.4 cm + 1.7 cv) fca</t>
  </si>
  <si>
    <t>con cargas verticales</t>
  </si>
  <si>
    <t>con cargas verticales y horizontales</t>
  </si>
  <si>
    <t>coeficiente sismico (C/Q) =</t>
  </si>
  <si>
    <t>(1.4CM+1.7CV)1.1</t>
  </si>
  <si>
    <t>1.4 CM + 1.7 CV</t>
  </si>
  <si>
    <r>
      <t xml:space="preserve">r </t>
    </r>
    <r>
      <rPr>
        <sz val="10"/>
        <rFont val="Arial"/>
        <family val="2"/>
      </rPr>
      <t>min</t>
    </r>
  </si>
  <si>
    <t>En lecho superior de viga</t>
  </si>
  <si>
    <t>b(viga) =</t>
  </si>
  <si>
    <t>debe pasa por el ancho de la viga</t>
  </si>
  <si>
    <t>VARILLAS</t>
  </si>
  <si>
    <t xml:space="preserve"> Y DE ESTAS :</t>
  </si>
  <si>
    <t>As =((0.7(f'c)^0.5) / Fy) ( b nerv. ) ( d nerv.) =</t>
  </si>
  <si>
    <t>bastones de</t>
  </si>
  <si>
    <t>(tipo)</t>
  </si>
  <si>
    <t>Espesor total =</t>
  </si>
  <si>
    <t>columna b x h x alto (m) Nivel 0-1=</t>
  </si>
  <si>
    <t>columna b x h x alto (m) Nivel 1-2=</t>
  </si>
  <si>
    <t>L = claro mayor</t>
  </si>
  <si>
    <t>kL(1-2c/3l)x1.20</t>
  </si>
  <si>
    <t>Transmision de momento por flexion entre losa y columna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</si>
</sst>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(* #,##0_);_(* \(#,##0\);_(* &quot;-&quot;??_);_(@_)"/>
    <numFmt numFmtId="178" formatCode="_-* #,##0_-;\-* #,##0_-;_-* &quot;-&quot;??_-;_-@_-"/>
  </numFmts>
  <fonts count="68">
    <font>
      <sz val="8"/>
      <name val="Comic Sans MS"/>
      <family val="0"/>
    </font>
    <font>
      <sz val="10"/>
      <name val="Arial"/>
      <family val="0"/>
    </font>
    <font>
      <sz val="8"/>
      <name val="Arial"/>
      <family val="2"/>
    </font>
    <font>
      <sz val="10"/>
      <name val="Symbol"/>
      <family val="1"/>
    </font>
    <font>
      <sz val="8"/>
      <name val="Tahoma"/>
      <family val="2"/>
    </font>
    <font>
      <b/>
      <sz val="8"/>
      <name val="Tahoma"/>
      <family val="0"/>
    </font>
    <font>
      <sz val="8"/>
      <name val="Symbol"/>
      <family val="1"/>
    </font>
    <font>
      <sz val="10"/>
      <name val="Times New Roman"/>
      <family val="0"/>
    </font>
    <font>
      <sz val="8"/>
      <color indexed="10"/>
      <name val="Comic Sans MS"/>
      <family val="4"/>
    </font>
    <font>
      <sz val="8"/>
      <color indexed="12"/>
      <name val="Comic Sans MS"/>
      <family val="4"/>
    </font>
    <font>
      <sz val="10"/>
      <name val="Comic Sans MS"/>
      <family val="4"/>
    </font>
    <font>
      <sz val="6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7"/>
      <color indexed="12"/>
      <name val="Comic Sans MS"/>
      <family val="4"/>
    </font>
    <font>
      <sz val="8"/>
      <color indexed="8"/>
      <name val="Comic Sans MS"/>
      <family val="4"/>
    </font>
    <font>
      <b/>
      <sz val="8"/>
      <color indexed="12"/>
      <name val="Comic Sans MS"/>
      <family val="4"/>
    </font>
    <font>
      <sz val="12"/>
      <name val="Comic Sans MS"/>
      <family val="4"/>
    </font>
    <font>
      <sz val="7"/>
      <name val="Comic Sans MS"/>
      <family val="4"/>
    </font>
    <font>
      <b/>
      <sz val="8"/>
      <color indexed="22"/>
      <name val="Comic Sans MS"/>
      <family val="4"/>
    </font>
    <font>
      <b/>
      <u val="single"/>
      <sz val="8"/>
      <name val="Comic Sans MS"/>
      <family val="4"/>
    </font>
    <font>
      <sz val="8"/>
      <color indexed="48"/>
      <name val="Comic Sans MS"/>
      <family val="4"/>
    </font>
    <font>
      <sz val="7"/>
      <color indexed="10"/>
      <name val="Comic Sans MS"/>
      <family val="4"/>
    </font>
    <font>
      <sz val="5"/>
      <color indexed="10"/>
      <name val="Comic Sans MS"/>
      <family val="4"/>
    </font>
    <font>
      <u val="single"/>
      <sz val="8"/>
      <name val="Comic Sans MS"/>
      <family val="4"/>
    </font>
    <font>
      <sz val="8"/>
      <name val="ItalicC"/>
      <family val="0"/>
    </font>
    <font>
      <sz val="6"/>
      <name val="Symbol"/>
      <family val="1"/>
    </font>
    <font>
      <b/>
      <sz val="8"/>
      <color indexed="10"/>
      <name val="Comic Sans MS"/>
      <family val="4"/>
    </font>
    <font>
      <sz val="10"/>
      <name val="ItalicC"/>
      <family val="0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62"/>
      <name val="Times New Roman"/>
      <family val="1"/>
    </font>
    <font>
      <u val="single"/>
      <sz val="8"/>
      <color indexed="48"/>
      <name val="Comic Sans MS"/>
      <family val="4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10"/>
      <name val="Comic Sans MS"/>
      <family val="4"/>
    </font>
    <font>
      <b/>
      <sz val="10"/>
      <color indexed="12"/>
      <name val="Times New Roman"/>
      <family val="1"/>
    </font>
    <font>
      <sz val="5"/>
      <name val="Comic Sans MS"/>
      <family val="4"/>
    </font>
    <font>
      <sz val="6"/>
      <color indexed="8"/>
      <name val="Comic Sans MS"/>
      <family val="4"/>
    </font>
    <font>
      <b/>
      <sz val="6"/>
      <name val="Comic Sans MS"/>
      <family val="4"/>
    </font>
    <font>
      <sz val="8"/>
      <color indexed="61"/>
      <name val="Comic Sans MS"/>
      <family val="4"/>
    </font>
    <font>
      <sz val="7"/>
      <color indexed="61"/>
      <name val="Comic Sans MS"/>
      <family val="4"/>
    </font>
    <font>
      <sz val="12"/>
      <color indexed="10"/>
      <name val="Comic Sans MS"/>
      <family val="4"/>
    </font>
    <font>
      <b/>
      <sz val="8"/>
      <color indexed="61"/>
      <name val="Comic Sans MS"/>
      <family val="4"/>
    </font>
    <font>
      <b/>
      <sz val="7"/>
      <name val="Comic Sans MS"/>
      <family val="4"/>
    </font>
    <font>
      <b/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8"/>
      <name val="Comic Sans MS"/>
      <family val="4"/>
    </font>
    <font>
      <sz val="7"/>
      <color indexed="8"/>
      <name val="Comic Sans MS"/>
      <family val="0"/>
    </font>
    <font>
      <sz val="10"/>
      <color indexed="12"/>
      <name val="Comic Sans MS"/>
      <family val="4"/>
    </font>
    <font>
      <b/>
      <sz val="10"/>
      <color indexed="8"/>
      <name val="Comic Sans MS"/>
      <family val="4"/>
    </font>
    <font>
      <b/>
      <u val="single"/>
      <sz val="12"/>
      <name val="Comic Sans MS"/>
      <family val="4"/>
    </font>
    <font>
      <vertAlign val="subscript"/>
      <sz val="8"/>
      <name val="Comic Sans MS"/>
      <family val="4"/>
    </font>
    <font>
      <vertAlign val="subscript"/>
      <sz val="10"/>
      <name val="Arial"/>
      <family val="2"/>
    </font>
    <font>
      <b/>
      <sz val="8"/>
      <color indexed="8"/>
      <name val="Comic Sans MS"/>
      <family val="4"/>
    </font>
    <font>
      <sz val="10"/>
      <color indexed="8"/>
      <name val="Symbol"/>
      <family val="1"/>
    </font>
    <font>
      <sz val="10"/>
      <color indexed="8"/>
      <name val="Arial"/>
      <family val="0"/>
    </font>
    <font>
      <sz val="10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12"/>
      <name val="Comic Sans MS"/>
      <family val="4"/>
    </font>
    <font>
      <u val="single"/>
      <sz val="8"/>
      <color indexed="12"/>
      <name val="Comic Sans MS"/>
      <family val="4"/>
    </font>
    <font>
      <u val="single"/>
      <sz val="10"/>
      <color indexed="12"/>
      <name val="Comic Sans MS"/>
      <family val="4"/>
    </font>
    <font>
      <b/>
      <sz val="10"/>
      <color indexed="12"/>
      <name val="Arial"/>
      <family val="2"/>
    </font>
    <font>
      <b/>
      <sz val="12"/>
      <color indexed="10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/>
    </fill>
    <fill>
      <patternFill patternType="lightUp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DashDot">
        <color indexed="10"/>
      </left>
      <right style="mediumDashDot">
        <color indexed="10"/>
      </right>
      <top style="mediumDashDot">
        <color indexed="10"/>
      </top>
      <bottom style="mediumDashDot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ashDot">
        <color indexed="10"/>
      </left>
      <right>
        <color indexed="63"/>
      </right>
      <top style="dashDot">
        <color indexed="10"/>
      </top>
      <bottom>
        <color indexed="63"/>
      </bottom>
    </border>
    <border>
      <left>
        <color indexed="63"/>
      </left>
      <right>
        <color indexed="63"/>
      </right>
      <top style="dashDot">
        <color indexed="10"/>
      </top>
      <bottom>
        <color indexed="63"/>
      </bottom>
    </border>
    <border>
      <left>
        <color indexed="63"/>
      </left>
      <right style="dashDot">
        <color indexed="10"/>
      </right>
      <top style="dashDot">
        <color indexed="10"/>
      </top>
      <bottom>
        <color indexed="63"/>
      </bottom>
    </border>
    <border>
      <left style="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>
        <color indexed="10"/>
      </right>
      <top>
        <color indexed="63"/>
      </top>
      <bottom>
        <color indexed="63"/>
      </bottom>
    </border>
    <border>
      <left style="dashDot">
        <color indexed="10"/>
      </left>
      <right>
        <color indexed="63"/>
      </right>
      <top>
        <color indexed="63"/>
      </top>
      <bottom style="dashDot">
        <color indexed="10"/>
      </bottom>
    </border>
    <border>
      <left>
        <color indexed="63"/>
      </left>
      <right>
        <color indexed="63"/>
      </right>
      <top>
        <color indexed="63"/>
      </top>
      <bottom style="dashDot">
        <color indexed="10"/>
      </bottom>
    </border>
    <border>
      <left>
        <color indexed="63"/>
      </left>
      <right style="dashDot">
        <color indexed="10"/>
      </right>
      <top>
        <color indexed="63"/>
      </top>
      <bottom style="dashDot">
        <color indexed="10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DashDot">
        <color indexed="10"/>
      </left>
      <right>
        <color indexed="63"/>
      </right>
      <top style="mediumDashDot">
        <color indexed="10"/>
      </top>
      <bottom style="mediumDashDot">
        <color indexed="10"/>
      </bottom>
    </border>
    <border>
      <left>
        <color indexed="63"/>
      </left>
      <right style="mediumDashDot">
        <color indexed="10"/>
      </right>
      <top style="mediumDashDot">
        <color indexed="10"/>
      </top>
      <bottom style="mediumDashDot">
        <color indexed="10"/>
      </bottom>
    </border>
    <border>
      <left>
        <color indexed="63"/>
      </left>
      <right style="mediumDashDot">
        <color indexed="10"/>
      </right>
      <top>
        <color indexed="63"/>
      </top>
      <bottom style="mediumDashDot">
        <color indexed="10"/>
      </bottom>
    </border>
    <border>
      <left style="mediumDashDot">
        <color indexed="10"/>
      </left>
      <right style="mediumDashDot">
        <color indexed="10"/>
      </right>
      <top>
        <color indexed="63"/>
      </top>
      <bottom style="mediumDashDot">
        <color indexed="10"/>
      </bottom>
    </border>
    <border>
      <left style="mediumDashDot">
        <color indexed="10"/>
      </left>
      <right>
        <color indexed="63"/>
      </right>
      <top>
        <color indexed="63"/>
      </top>
      <bottom style="mediumDashDot">
        <color indexed="10"/>
      </bottom>
    </border>
    <border>
      <left>
        <color indexed="63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10"/>
      </left>
      <right style="mediumDashDot">
        <color indexed="10"/>
      </right>
      <top style="mediumDashDot">
        <color indexed="10"/>
      </top>
      <bottom>
        <color indexed="63"/>
      </bottom>
    </border>
    <border>
      <left style="mediumDashDot">
        <color indexed="10"/>
      </left>
      <right>
        <color indexed="63"/>
      </right>
      <top style="mediumDashDot">
        <color indexed="10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2" fontId="0" fillId="0" borderId="0" xfId="0" applyNumberForma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13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 quotePrefix="1">
      <alignment/>
    </xf>
    <xf numFmtId="17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8" fillId="0" borderId="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173" fontId="19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 quotePrefix="1">
      <alignment horizontal="center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Alignment="1">
      <alignment/>
    </xf>
    <xf numFmtId="1" fontId="15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2" fontId="0" fillId="0" borderId="2" xfId="0" applyNumberFormat="1" applyBorder="1" applyAlignment="1" quotePrefix="1">
      <alignment horizontal="center"/>
    </xf>
    <xf numFmtId="0" fontId="13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14" xfId="0" applyBorder="1" applyAlignment="1">
      <alignment/>
    </xf>
    <xf numFmtId="0" fontId="8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right"/>
    </xf>
    <xf numFmtId="1" fontId="9" fillId="0" borderId="3" xfId="0" applyNumberFormat="1" applyFont="1" applyBorder="1" applyAlignment="1">
      <alignment/>
    </xf>
    <xf numFmtId="0" fontId="9" fillId="0" borderId="3" xfId="0" applyFont="1" applyBorder="1" applyAlignment="1">
      <alignment textRotation="90"/>
    </xf>
    <xf numFmtId="0" fontId="16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0" fillId="0" borderId="15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6" xfId="0" applyBorder="1" applyAlignment="1">
      <alignment/>
    </xf>
    <xf numFmtId="0" fontId="21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5" fillId="0" borderId="12" xfId="0" applyFont="1" applyBorder="1" applyAlignment="1">
      <alignment horizontal="center"/>
    </xf>
    <xf numFmtId="177" fontId="0" fillId="0" borderId="0" xfId="15" applyNumberFormat="1" applyBorder="1" applyAlignment="1">
      <alignment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1" fontId="0" fillId="0" borderId="0" xfId="15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8" fillId="0" borderId="0" xfId="0" applyFont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8" fillId="0" borderId="3" xfId="0" applyFont="1" applyBorder="1" applyAlignment="1">
      <alignment/>
    </xf>
    <xf numFmtId="0" fontId="22" fillId="0" borderId="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172" fontId="23" fillId="0" borderId="22" xfId="0" applyNumberFormat="1" applyFont="1" applyBorder="1" applyAlignment="1">
      <alignment horizontal="center"/>
    </xf>
    <xf numFmtId="177" fontId="13" fillId="0" borderId="0" xfId="15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" xfId="0" applyFont="1" applyBorder="1" applyAlignment="1">
      <alignment/>
    </xf>
    <xf numFmtId="1" fontId="0" fillId="0" borderId="1" xfId="0" applyNumberFormat="1" applyBorder="1" applyAlignment="1">
      <alignment horizontal="center"/>
    </xf>
    <xf numFmtId="0" fontId="0" fillId="3" borderId="0" xfId="0" applyFill="1" applyAlignment="1">
      <alignment/>
    </xf>
    <xf numFmtId="0" fontId="0" fillId="4" borderId="6" xfId="0" applyFill="1" applyBorder="1" applyAlignment="1">
      <alignment/>
    </xf>
    <xf numFmtId="0" fontId="3" fillId="0" borderId="0" xfId="0" applyFont="1" applyAlignment="1">
      <alignment horizontal="left"/>
    </xf>
    <xf numFmtId="175" fontId="2" fillId="0" borderId="0" xfId="0" applyNumberFormat="1" applyFont="1" applyAlignment="1">
      <alignment horizontal="center"/>
    </xf>
    <xf numFmtId="175" fontId="0" fillId="0" borderId="0" xfId="0" applyNumberFormat="1" applyAlignment="1">
      <alignment/>
    </xf>
    <xf numFmtId="0" fontId="28" fillId="0" borderId="1" xfId="0" applyFon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/>
    </xf>
    <xf numFmtId="1" fontId="0" fillId="0" borderId="1" xfId="0" applyNumberFormat="1" applyBorder="1" applyAlignment="1">
      <alignment horizontal="right"/>
    </xf>
    <xf numFmtId="0" fontId="28" fillId="0" borderId="0" xfId="0" applyFont="1" applyBorder="1" applyAlignment="1">
      <alignment/>
    </xf>
    <xf numFmtId="0" fontId="12" fillId="0" borderId="0" xfId="0" applyFont="1" applyAlignment="1">
      <alignment horizontal="right"/>
    </xf>
    <xf numFmtId="174" fontId="0" fillId="0" borderId="1" xfId="0" applyNumberFormat="1" applyBorder="1" applyAlignment="1">
      <alignment/>
    </xf>
    <xf numFmtId="2" fontId="13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173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Border="1" applyAlignment="1">
      <alignment textRotation="90"/>
    </xf>
    <xf numFmtId="0" fontId="27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72" fontId="0" fillId="2" borderId="0" xfId="0" applyNumberFormat="1" applyFill="1" applyBorder="1" applyAlignment="1">
      <alignment horizontal="center"/>
    </xf>
    <xf numFmtId="0" fontId="29" fillId="0" borderId="0" xfId="0" applyFont="1" applyBorder="1" applyAlignment="1" quotePrefix="1">
      <alignment horizontal="center"/>
    </xf>
    <xf numFmtId="1" fontId="13" fillId="0" borderId="0" xfId="0" applyNumberFormat="1" applyFont="1" applyBorder="1" applyAlignment="1">
      <alignment/>
    </xf>
    <xf numFmtId="1" fontId="0" fillId="2" borderId="1" xfId="0" applyNumberFormat="1" applyFill="1" applyBorder="1" applyAlignment="1">
      <alignment horizontal="center"/>
    </xf>
    <xf numFmtId="0" fontId="35" fillId="0" borderId="0" xfId="0" applyFont="1" applyBorder="1" applyAlignment="1">
      <alignment horizontal="right"/>
    </xf>
    <xf numFmtId="2" fontId="36" fillId="0" borderId="0" xfId="0" applyNumberFormat="1" applyFont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173" fontId="13" fillId="0" borderId="0" xfId="0" applyNumberFormat="1" applyFont="1" applyAlignment="1">
      <alignment/>
    </xf>
    <xf numFmtId="0" fontId="0" fillId="0" borderId="0" xfId="0" applyAlignment="1">
      <alignment horizontal="center" vertical="justify"/>
    </xf>
    <xf numFmtId="172" fontId="0" fillId="0" borderId="3" xfId="0" applyNumberFormat="1" applyBorder="1" applyAlignment="1">
      <alignment horizontal="center"/>
    </xf>
    <xf numFmtId="173" fontId="13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top"/>
    </xf>
    <xf numFmtId="2" fontId="0" fillId="0" borderId="0" xfId="0" applyNumberForma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3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Alignment="1">
      <alignment horizontal="left"/>
    </xf>
    <xf numFmtId="0" fontId="37" fillId="2" borderId="0" xfId="0" applyFont="1" applyFill="1" applyBorder="1" applyAlignment="1">
      <alignment horizontal="left"/>
    </xf>
    <xf numFmtId="0" fontId="37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1" fontId="9" fillId="2" borderId="0" xfId="0" applyNumberFormat="1" applyFont="1" applyFill="1" applyAlignment="1">
      <alignment horizontal="center"/>
    </xf>
    <xf numFmtId="0" fontId="24" fillId="0" borderId="0" xfId="0" applyFont="1" applyAlignment="1">
      <alignment horizontal="center"/>
    </xf>
    <xf numFmtId="1" fontId="39" fillId="2" borderId="0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7" xfId="0" applyFill="1" applyBorder="1" applyAlignment="1">
      <alignment/>
    </xf>
    <xf numFmtId="0" fontId="11" fillId="0" borderId="0" xfId="0" applyFont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41" fillId="0" borderId="0" xfId="0" applyFont="1" applyBorder="1" applyAlignment="1">
      <alignment/>
    </xf>
    <xf numFmtId="1" fontId="41" fillId="0" borderId="3" xfId="0" applyNumberFormat="1" applyFont="1" applyBorder="1" applyAlignment="1">
      <alignment/>
    </xf>
    <xf numFmtId="0" fontId="41" fillId="0" borderId="3" xfId="0" applyFont="1" applyBorder="1" applyAlignment="1">
      <alignment/>
    </xf>
    <xf numFmtId="177" fontId="13" fillId="0" borderId="0" xfId="15" applyNumberFormat="1" applyFont="1" applyAlignment="1">
      <alignment horizontal="center"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 textRotation="90"/>
    </xf>
    <xf numFmtId="173" fontId="14" fillId="0" borderId="0" xfId="0" applyNumberFormat="1" applyFont="1" applyBorder="1" applyAlignment="1">
      <alignment horizontal="center" textRotation="90"/>
    </xf>
    <xf numFmtId="0" fontId="44" fillId="0" borderId="5" xfId="0" applyFont="1" applyBorder="1" applyAlignment="1">
      <alignment horizontal="left" textRotation="90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18" fillId="0" borderId="0" xfId="0" applyFont="1" applyBorder="1" applyAlignment="1">
      <alignment/>
    </xf>
    <xf numFmtId="173" fontId="0" fillId="0" borderId="0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8" fillId="0" borderId="0" xfId="0" applyFont="1" applyBorder="1" applyAlignment="1">
      <alignment/>
    </xf>
    <xf numFmtId="1" fontId="0" fillId="0" borderId="0" xfId="0" applyNumberFormat="1" applyAlignment="1">
      <alignment/>
    </xf>
    <xf numFmtId="0" fontId="45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43" fillId="0" borderId="3" xfId="0" applyFont="1" applyBorder="1" applyAlignment="1">
      <alignment horizontal="right"/>
    </xf>
    <xf numFmtId="1" fontId="0" fillId="0" borderId="44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8" fillId="0" borderId="45" xfId="0" applyFont="1" applyBorder="1" applyAlignment="1">
      <alignment horizontal="center"/>
    </xf>
    <xf numFmtId="2" fontId="8" fillId="0" borderId="45" xfId="0" applyNumberFormat="1" applyFon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0" xfId="0" applyNumberFormat="1" applyAlignment="1">
      <alignment horizontal="left"/>
    </xf>
    <xf numFmtId="173" fontId="0" fillId="0" borderId="3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13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47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1" fontId="48" fillId="0" borderId="0" xfId="0" applyNumberFormat="1" applyFont="1" applyAlignment="1">
      <alignment horizontal="left"/>
    </xf>
    <xf numFmtId="0" fontId="18" fillId="0" borderId="1" xfId="0" applyFont="1" applyBorder="1" applyAlignment="1">
      <alignment/>
    </xf>
    <xf numFmtId="0" fontId="47" fillId="0" borderId="1" xfId="0" applyFont="1" applyBorder="1" applyAlignment="1">
      <alignment horizontal="center"/>
    </xf>
    <xf numFmtId="1" fontId="48" fillId="0" borderId="0" xfId="15" applyNumberFormat="1" applyFont="1" applyBorder="1" applyAlignment="1">
      <alignment horizontal="left"/>
    </xf>
    <xf numFmtId="1" fontId="48" fillId="0" borderId="0" xfId="23" applyNumberFormat="1" applyFont="1" applyAlignment="1">
      <alignment horizontal="left"/>
      <protection/>
    </xf>
    <xf numFmtId="1" fontId="48" fillId="0" borderId="0" xfId="23" applyNumberFormat="1" applyFont="1" applyBorder="1">
      <alignment/>
      <protection/>
    </xf>
    <xf numFmtId="1" fontId="48" fillId="0" borderId="0" xfId="15" applyNumberFormat="1" applyFont="1" applyBorder="1" applyAlignment="1">
      <alignment horizontal="right"/>
    </xf>
    <xf numFmtId="1" fontId="48" fillId="0" borderId="0" xfId="23" applyNumberFormat="1" applyFont="1" applyBorder="1" applyAlignment="1">
      <alignment horizontal="left"/>
      <protection/>
    </xf>
    <xf numFmtId="1" fontId="49" fillId="0" borderId="0" xfId="15" applyNumberFormat="1" applyFont="1" applyBorder="1" applyAlignment="1">
      <alignment horizontal="right"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1" fillId="0" borderId="1" xfId="0" applyFont="1" applyBorder="1" applyAlignment="1">
      <alignment/>
    </xf>
    <xf numFmtId="0" fontId="50" fillId="0" borderId="1" xfId="0" applyFont="1" applyBorder="1" applyAlignment="1">
      <alignment horizontal="center"/>
    </xf>
    <xf numFmtId="1" fontId="49" fillId="0" borderId="0" xfId="15" applyNumberFormat="1" applyFont="1" applyBorder="1" applyAlignment="1">
      <alignment horizontal="left"/>
    </xf>
    <xf numFmtId="1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" fontId="48" fillId="0" borderId="0" xfId="23" applyNumberFormat="1" applyFont="1" applyAlignment="1">
      <alignment horizontal="right"/>
      <protection/>
    </xf>
    <xf numFmtId="1" fontId="48" fillId="0" borderId="0" xfId="23" applyNumberFormat="1" applyFont="1" applyAlignment="1">
      <alignment/>
      <protection/>
    </xf>
    <xf numFmtId="1" fontId="23" fillId="0" borderId="21" xfId="0" applyNumberFormat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0" fontId="52" fillId="5" borderId="46" xfId="25" applyFont="1" applyFill="1" applyBorder="1" applyAlignment="1">
      <alignment horizontal="center"/>
      <protection/>
    </xf>
    <xf numFmtId="0" fontId="52" fillId="5" borderId="47" xfId="25" applyFont="1" applyFill="1" applyBorder="1" applyAlignment="1">
      <alignment horizontal="center"/>
      <protection/>
    </xf>
    <xf numFmtId="0" fontId="52" fillId="5" borderId="48" xfId="25" applyFont="1" applyFill="1" applyBorder="1" applyAlignment="1">
      <alignment horizontal="center"/>
      <protection/>
    </xf>
    <xf numFmtId="0" fontId="52" fillId="5" borderId="49" xfId="25" applyFont="1" applyFill="1" applyBorder="1" applyAlignment="1">
      <alignment horizontal="center"/>
      <protection/>
    </xf>
    <xf numFmtId="172" fontId="52" fillId="5" borderId="3" xfId="25" applyNumberFormat="1" applyFont="1" applyFill="1" applyBorder="1" applyAlignment="1">
      <alignment horizontal="center"/>
      <protection/>
    </xf>
    <xf numFmtId="0" fontId="52" fillId="5" borderId="3" xfId="25" applyFont="1" applyFill="1" applyBorder="1" applyAlignment="1">
      <alignment horizontal="center"/>
      <protection/>
    </xf>
    <xf numFmtId="0" fontId="52" fillId="5" borderId="50" xfId="25" applyFont="1" applyFill="1" applyBorder="1" applyAlignment="1">
      <alignment horizontal="center"/>
      <protection/>
    </xf>
    <xf numFmtId="0" fontId="52" fillId="5" borderId="51" xfId="25" applyFont="1" applyFill="1" applyBorder="1" applyAlignment="1">
      <alignment horizontal="center"/>
      <protection/>
    </xf>
    <xf numFmtId="0" fontId="52" fillId="5" borderId="52" xfId="25" applyFont="1" applyFill="1" applyBorder="1" applyAlignment="1">
      <alignment horizontal="center"/>
      <protection/>
    </xf>
    <xf numFmtId="0" fontId="52" fillId="5" borderId="53" xfId="25" applyFont="1" applyFill="1" applyBorder="1" applyAlignment="1">
      <alignment horizontal="center"/>
      <protection/>
    </xf>
    <xf numFmtId="0" fontId="1" fillId="0" borderId="0" xfId="24" applyAlignment="1">
      <alignment horizontal="center"/>
      <protection/>
    </xf>
    <xf numFmtId="0" fontId="1" fillId="0" borderId="0" xfId="24" applyFont="1" applyAlignment="1">
      <alignment horizontal="right"/>
      <protection/>
    </xf>
    <xf numFmtId="0" fontId="1" fillId="0" borderId="0" xfId="24" applyFont="1">
      <alignment/>
      <protection/>
    </xf>
    <xf numFmtId="0" fontId="1" fillId="0" borderId="0" xfId="24">
      <alignment/>
      <protection/>
    </xf>
    <xf numFmtId="0" fontId="3" fillId="0" borderId="0" xfId="24" applyFont="1" applyAlignment="1">
      <alignment horizontal="right"/>
      <protection/>
    </xf>
    <xf numFmtId="0" fontId="1" fillId="0" borderId="0" xfId="24" applyFont="1" applyAlignment="1">
      <alignment horizontal="center"/>
      <protection/>
    </xf>
    <xf numFmtId="0" fontId="10" fillId="0" borderId="3" xfId="25" applyFont="1" applyBorder="1" applyAlignment="1">
      <alignment horizontal="center"/>
      <protection/>
    </xf>
    <xf numFmtId="0" fontId="1" fillId="0" borderId="3" xfId="24" applyBorder="1" applyAlignment="1">
      <alignment horizontal="center"/>
      <protection/>
    </xf>
    <xf numFmtId="0" fontId="1" fillId="0" borderId="3" xfId="24" applyBorder="1">
      <alignment/>
      <protection/>
    </xf>
    <xf numFmtId="0" fontId="1" fillId="0" borderId="0" xfId="24" applyAlignment="1">
      <alignment horizontal="left"/>
      <protection/>
    </xf>
    <xf numFmtId="174" fontId="1" fillId="0" borderId="0" xfId="24" applyNumberFormat="1" applyAlignment="1">
      <alignment horizontal="center"/>
      <protection/>
    </xf>
    <xf numFmtId="0" fontId="10" fillId="0" borderId="0" xfId="0" applyFont="1" applyAlignment="1">
      <alignment horizontal="center"/>
    </xf>
    <xf numFmtId="2" fontId="1" fillId="0" borderId="0" xfId="24" applyNumberFormat="1" applyAlignment="1">
      <alignment horizontal="center"/>
      <protection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3" fontId="0" fillId="0" borderId="0" xfId="0" applyNumberFormat="1" applyAlignment="1">
      <alignment horizontal="left"/>
    </xf>
    <xf numFmtId="177" fontId="12" fillId="0" borderId="1" xfId="15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" fontId="18" fillId="0" borderId="7" xfId="0" applyNumberFormat="1" applyFont="1" applyBorder="1" applyAlignment="1">
      <alignment horizontal="center" textRotation="90"/>
    </xf>
    <xf numFmtId="0" fontId="18" fillId="0" borderId="7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 textRotation="90"/>
    </xf>
    <xf numFmtId="0" fontId="14" fillId="0" borderId="0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 textRotation="90"/>
    </xf>
    <xf numFmtId="1" fontId="18" fillId="0" borderId="1" xfId="0" applyNumberFormat="1" applyFont="1" applyBorder="1" applyAlignment="1">
      <alignment horizontal="center" textRotation="90"/>
    </xf>
    <xf numFmtId="0" fontId="14" fillId="0" borderId="1" xfId="0" applyFont="1" applyBorder="1" applyAlignment="1">
      <alignment/>
    </xf>
    <xf numFmtId="0" fontId="14" fillId="0" borderId="8" xfId="0" applyFont="1" applyBorder="1" applyAlignment="1">
      <alignment/>
    </xf>
    <xf numFmtId="0" fontId="1" fillId="0" borderId="0" xfId="24" applyBorder="1" applyAlignment="1">
      <alignment horizontal="center"/>
      <protection/>
    </xf>
    <xf numFmtId="0" fontId="15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17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" fontId="15" fillId="0" borderId="0" xfId="0" applyNumberFormat="1" applyFont="1" applyBorder="1" applyAlignment="1">
      <alignment horizontal="left"/>
    </xf>
    <xf numFmtId="173" fontId="15" fillId="0" borderId="0" xfId="0" applyNumberFormat="1" applyFont="1" applyBorder="1" applyAlignment="1">
      <alignment horizontal="left"/>
    </xf>
    <xf numFmtId="177" fontId="53" fillId="0" borderId="0" xfId="15" applyNumberFormat="1" applyFont="1" applyBorder="1" applyAlignment="1">
      <alignment/>
    </xf>
    <xf numFmtId="0" fontId="57" fillId="0" borderId="0" xfId="0" applyFont="1" applyBorder="1" applyAlignment="1">
      <alignment horizontal="center"/>
    </xf>
    <xf numFmtId="0" fontId="59" fillId="0" borderId="0" xfId="24" applyFont="1" applyBorder="1" applyAlignment="1">
      <alignment horizontal="right"/>
      <protection/>
    </xf>
    <xf numFmtId="0" fontId="60" fillId="0" borderId="0" xfId="0" applyFont="1" applyBorder="1" applyAlignment="1">
      <alignment horizontal="center"/>
    </xf>
    <xf numFmtId="0" fontId="53" fillId="0" borderId="0" xfId="25" applyFont="1" applyBorder="1" applyAlignment="1">
      <alignment horizontal="center"/>
      <protection/>
    </xf>
    <xf numFmtId="0" fontId="59" fillId="0" borderId="0" xfId="24" applyFont="1" applyBorder="1">
      <alignment/>
      <protection/>
    </xf>
    <xf numFmtId="0" fontId="61" fillId="0" borderId="0" xfId="24" applyFont="1" applyBorder="1" applyAlignment="1">
      <alignment horizontal="center"/>
      <protection/>
    </xf>
    <xf numFmtId="0" fontId="53" fillId="0" borderId="0" xfId="0" applyFont="1" applyBorder="1" applyAlignment="1">
      <alignment horizontal="left"/>
    </xf>
    <xf numFmtId="174" fontId="59" fillId="0" borderId="0" xfId="24" applyNumberFormat="1" applyFont="1" applyBorder="1" applyAlignment="1">
      <alignment horizontal="center"/>
      <protection/>
    </xf>
    <xf numFmtId="0" fontId="59" fillId="0" borderId="0" xfId="24" applyFont="1" applyBorder="1" applyAlignment="1">
      <alignment horizontal="center"/>
      <protection/>
    </xf>
    <xf numFmtId="0" fontId="18" fillId="0" borderId="4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1" fontId="1" fillId="0" borderId="3" xfId="24" applyNumberFormat="1" applyBorder="1" applyAlignment="1">
      <alignment horizontal="center"/>
      <protection/>
    </xf>
    <xf numFmtId="0" fontId="9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1" fontId="38" fillId="0" borderId="9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 textRotation="90"/>
    </xf>
    <xf numFmtId="1" fontId="18" fillId="0" borderId="12" xfId="0" applyNumberFormat="1" applyFont="1" applyBorder="1" applyAlignment="1">
      <alignment horizontal="center" textRotation="90"/>
    </xf>
    <xf numFmtId="0" fontId="0" fillId="0" borderId="12" xfId="0" applyBorder="1" applyAlignment="1">
      <alignment horizontal="right"/>
    </xf>
    <xf numFmtId="0" fontId="1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63" fillId="0" borderId="1" xfId="0" applyFont="1" applyBorder="1" applyAlignment="1">
      <alignment horizontal="center"/>
    </xf>
    <xf numFmtId="0" fontId="63" fillId="0" borderId="1" xfId="25" applyFont="1" applyBorder="1" applyAlignment="1">
      <alignment horizontal="center"/>
      <protection/>
    </xf>
    <xf numFmtId="1" fontId="63" fillId="0" borderId="1" xfId="0" applyNumberFormat="1" applyFont="1" applyBorder="1" applyAlignment="1">
      <alignment horizontal="center"/>
    </xf>
    <xf numFmtId="0" fontId="63" fillId="0" borderId="12" xfId="25" applyFont="1" applyBorder="1" applyAlignment="1">
      <alignment horizontal="center"/>
      <protection/>
    </xf>
    <xf numFmtId="0" fontId="63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4" fillId="0" borderId="0" xfId="0" applyFont="1" applyAlignment="1">
      <alignment/>
    </xf>
    <xf numFmtId="2" fontId="0" fillId="0" borderId="3" xfId="0" applyNumberForma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13" fillId="0" borderId="0" xfId="0" applyNumberFormat="1" applyFont="1" applyAlignment="1" quotePrefix="1">
      <alignment horizontal="center"/>
    </xf>
    <xf numFmtId="2" fontId="57" fillId="0" borderId="0" xfId="0" applyNumberFormat="1" applyFont="1" applyAlignment="1" quotePrefix="1">
      <alignment horizontal="center"/>
    </xf>
    <xf numFmtId="0" fontId="15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" fontId="8" fillId="0" borderId="52" xfId="0" applyNumberFormat="1" applyFont="1" applyBorder="1" applyAlignment="1">
      <alignment horizontal="center"/>
    </xf>
    <xf numFmtId="0" fontId="13" fillId="0" borderId="2" xfId="0" applyFont="1" applyBorder="1" applyAlignment="1" quotePrefix="1">
      <alignment horizontal="center"/>
    </xf>
    <xf numFmtId="1" fontId="0" fillId="0" borderId="3" xfId="0" applyNumberFormat="1" applyFont="1" applyBorder="1" applyAlignment="1">
      <alignment horizontal="center"/>
    </xf>
    <xf numFmtId="173" fontId="8" fillId="0" borderId="3" xfId="0" applyNumberFormat="1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52" xfId="0" applyBorder="1" applyAlignment="1">
      <alignment horizontal="right"/>
    </xf>
    <xf numFmtId="1" fontId="57" fillId="0" borderId="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0" fillId="0" borderId="1" xfId="0" applyBorder="1" applyAlignment="1" quotePrefix="1">
      <alignment horizontal="center"/>
    </xf>
    <xf numFmtId="0" fontId="0" fillId="0" borderId="8" xfId="0" applyBorder="1" applyAlignment="1">
      <alignment horizontal="center"/>
    </xf>
    <xf numFmtId="0" fontId="65" fillId="0" borderId="0" xfId="0" applyFont="1" applyAlignment="1">
      <alignment/>
    </xf>
    <xf numFmtId="0" fontId="16" fillId="0" borderId="3" xfId="0" applyFont="1" applyBorder="1" applyAlignment="1">
      <alignment horizontal="left"/>
    </xf>
    <xf numFmtId="1" fontId="22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" fontId="9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" fontId="66" fillId="0" borderId="12" xfId="24" applyNumberFormat="1" applyFont="1" applyBorder="1" applyAlignment="1">
      <alignment horizontal="center"/>
      <protection/>
    </xf>
    <xf numFmtId="0" fontId="64" fillId="0" borderId="0" xfId="0" applyFont="1" applyAlignment="1">
      <alignment horizontal="right"/>
    </xf>
    <xf numFmtId="174" fontId="1" fillId="0" borderId="1" xfId="24" applyNumberForma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0" fontId="8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18" fillId="0" borderId="0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2" fontId="8" fillId="0" borderId="6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2" xfId="0" applyBorder="1" applyAlignment="1">
      <alignment/>
    </xf>
    <xf numFmtId="0" fontId="0" fillId="0" borderId="59" xfId="0" applyBorder="1" applyAlignment="1">
      <alignment/>
    </xf>
    <xf numFmtId="0" fontId="8" fillId="0" borderId="7" xfId="0" applyFont="1" applyBorder="1" applyAlignment="1">
      <alignment horizontal="center" vertical="justify"/>
    </xf>
    <xf numFmtId="1" fontId="9" fillId="0" borderId="7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9" fillId="0" borderId="16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1" fontId="0" fillId="0" borderId="3" xfId="0" applyNumberForma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 vertical="justify"/>
    </xf>
    <xf numFmtId="2" fontId="9" fillId="0" borderId="8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16" xfId="0" applyFont="1" applyBorder="1" applyAlignment="1">
      <alignment horizontal="center" vertical="top"/>
    </xf>
    <xf numFmtId="0" fontId="43" fillId="0" borderId="7" xfId="0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8" fillId="0" borderId="1" xfId="0" applyFont="1" applyBorder="1" applyAlignment="1">
      <alignment horizontal="center" vertical="justify"/>
    </xf>
    <xf numFmtId="0" fontId="8" fillId="0" borderId="8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 textRotation="177"/>
    </xf>
    <xf numFmtId="0" fontId="0" fillId="0" borderId="0" xfId="0" applyAlignment="1">
      <alignment horizontal="center" textRotation="180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1" fontId="14" fillId="0" borderId="9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8" fillId="0" borderId="7" xfId="0" applyFont="1" applyBorder="1" applyAlignment="1">
      <alignment horizontal="center" textRotation="90"/>
    </xf>
    <xf numFmtId="1" fontId="0" fillId="0" borderId="1" xfId="15" applyNumberFormat="1" applyBorder="1" applyAlignment="1">
      <alignment horizontal="center"/>
    </xf>
    <xf numFmtId="0" fontId="0" fillId="0" borderId="7" xfId="0" applyBorder="1" applyAlignment="1">
      <alignment horizontal="center" vertical="top"/>
    </xf>
    <xf numFmtId="1" fontId="0" fillId="0" borderId="7" xfId="0" applyNumberFormat="1" applyBorder="1" applyAlignment="1">
      <alignment horizontal="center"/>
    </xf>
    <xf numFmtId="173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177" fontId="13" fillId="0" borderId="3" xfId="15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textRotation="90"/>
    </xf>
    <xf numFmtId="176" fontId="0" fillId="0" borderId="1" xfId="0" applyNumberForma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6" xfId="0" applyBorder="1" applyAlignment="1">
      <alignment horizontal="right" vertical="center" textRotation="90"/>
    </xf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33" fillId="2" borderId="0" xfId="0" applyFont="1" applyFill="1" applyBorder="1" applyAlignment="1">
      <alignment horizontal="center"/>
    </xf>
    <xf numFmtId="172" fontId="34" fillId="2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/>
    </xf>
    <xf numFmtId="173" fontId="0" fillId="0" borderId="1" xfId="0" applyNumberFormat="1" applyBorder="1" applyAlignment="1">
      <alignment horizontal="center"/>
    </xf>
    <xf numFmtId="2" fontId="43" fillId="0" borderId="16" xfId="0" applyNumberFormat="1" applyFont="1" applyBorder="1" applyAlignment="1">
      <alignment horizontal="center" vertical="top"/>
    </xf>
    <xf numFmtId="2" fontId="43" fillId="0" borderId="11" xfId="0" applyNumberFormat="1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top"/>
    </xf>
    <xf numFmtId="1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1" fontId="9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72" fontId="0" fillId="0" borderId="0" xfId="0" applyNumberFormat="1" applyAlignment="1">
      <alignment horizontal="center" textRotation="90"/>
    </xf>
    <xf numFmtId="2" fontId="14" fillId="0" borderId="6" xfId="0" applyNumberFormat="1" applyFont="1" applyBorder="1" applyAlignment="1">
      <alignment horizontal="center" textRotation="90"/>
    </xf>
    <xf numFmtId="0" fontId="14" fillId="0" borderId="6" xfId="0" applyFont="1" applyBorder="1" applyAlignment="1">
      <alignment horizontal="center" textRotation="90"/>
    </xf>
    <xf numFmtId="0" fontId="44" fillId="0" borderId="5" xfId="0" applyFont="1" applyBorder="1" applyAlignment="1">
      <alignment horizontal="center" textRotation="90"/>
    </xf>
    <xf numFmtId="178" fontId="13" fillId="0" borderId="9" xfId="15" applyNumberFormat="1" applyFont="1" applyBorder="1" applyAlignment="1">
      <alignment horizontal="center"/>
    </xf>
    <xf numFmtId="178" fontId="13" fillId="0" borderId="12" xfId="15" applyNumberFormat="1" applyFont="1" applyBorder="1" applyAlignment="1">
      <alignment horizontal="center"/>
    </xf>
    <xf numFmtId="178" fontId="13" fillId="0" borderId="13" xfId="15" applyNumberFormat="1" applyFont="1" applyBorder="1" applyAlignment="1">
      <alignment horizontal="center"/>
    </xf>
    <xf numFmtId="2" fontId="43" fillId="0" borderId="5" xfId="0" applyNumberFormat="1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18" fillId="0" borderId="7" xfId="0" applyNumberFormat="1" applyFont="1" applyBorder="1" applyAlignment="1">
      <alignment horizontal="center" textRotation="90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45" xfId="0" applyFont="1" applyBorder="1" applyAlignment="1">
      <alignment horizontal="center"/>
    </xf>
    <xf numFmtId="1" fontId="34" fillId="0" borderId="9" xfId="23" applyNumberFormat="1" applyFont="1" applyBorder="1" applyAlignment="1">
      <alignment horizontal="center"/>
      <protection/>
    </xf>
    <xf numFmtId="1" fontId="34" fillId="0" borderId="12" xfId="23" applyNumberFormat="1" applyFont="1" applyBorder="1" applyAlignment="1">
      <alignment horizontal="center"/>
      <protection/>
    </xf>
    <xf numFmtId="1" fontId="34" fillId="0" borderId="13" xfId="23" applyNumberFormat="1" applyFont="1" applyBorder="1" applyAlignment="1">
      <alignment horizontal="center"/>
      <protection/>
    </xf>
    <xf numFmtId="0" fontId="15" fillId="0" borderId="45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24" applyFont="1" applyBorder="1" applyAlignment="1">
      <alignment horizontal="center"/>
      <protection/>
    </xf>
    <xf numFmtId="0" fontId="1" fillId="0" borderId="0" xfId="24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Millares [0]_MURO1" xfId="19"/>
    <cellStyle name="Millares_MURO1" xfId="20"/>
    <cellStyle name="Moneda [0]_MURO1" xfId="21"/>
    <cellStyle name="Moneda_MURO1" xfId="22"/>
    <cellStyle name="Normal_Cross-ContinuousBeam4Spans" xfId="23"/>
    <cellStyle name="Normal_MURO1" xfId="24"/>
    <cellStyle name="Normal_TORRE1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79</xdr:row>
      <xdr:rowOff>180975</xdr:rowOff>
    </xdr:from>
    <xdr:to>
      <xdr:col>10</xdr:col>
      <xdr:colOff>352425</xdr:colOff>
      <xdr:row>100</xdr:row>
      <xdr:rowOff>9525</xdr:rowOff>
    </xdr:to>
    <xdr:grpSp>
      <xdr:nvGrpSpPr>
        <xdr:cNvPr id="1" name="Group 229"/>
        <xdr:cNvGrpSpPr>
          <a:grpSpLocks/>
        </xdr:cNvGrpSpPr>
      </xdr:nvGrpSpPr>
      <xdr:grpSpPr>
        <a:xfrm>
          <a:off x="5800725" y="15373350"/>
          <a:ext cx="285750" cy="3486150"/>
          <a:chOff x="598" y="1557"/>
          <a:chExt cx="30" cy="365"/>
        </a:xfrm>
        <a:solidFill>
          <a:srgbClr val="FFFFFF"/>
        </a:solidFill>
      </xdr:grpSpPr>
      <xdr:sp>
        <xdr:nvSpPr>
          <xdr:cNvPr id="2" name="Line 51"/>
          <xdr:cNvSpPr>
            <a:spLocks/>
          </xdr:cNvSpPr>
        </xdr:nvSpPr>
        <xdr:spPr>
          <a:xfrm>
            <a:off x="612" y="1585"/>
            <a:ext cx="0" cy="337"/>
          </a:xfrm>
          <a:prstGeom prst="line">
            <a:avLst/>
          </a:prstGeom>
          <a:noFill/>
          <a:ln w="12700" cmpd="sng">
            <a:solidFill>
              <a:srgbClr val="FF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" name="Oval 52"/>
          <xdr:cNvSpPr>
            <a:spLocks/>
          </xdr:cNvSpPr>
        </xdr:nvSpPr>
        <xdr:spPr>
          <a:xfrm>
            <a:off x="598" y="1557"/>
            <a:ext cx="30" cy="27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34</xdr:col>
      <xdr:colOff>104775</xdr:colOff>
      <xdr:row>1</xdr:row>
      <xdr:rowOff>133350</xdr:rowOff>
    </xdr:from>
    <xdr:to>
      <xdr:col>36</xdr:col>
      <xdr:colOff>57150</xdr:colOff>
      <xdr:row>3</xdr:row>
      <xdr:rowOff>57150</xdr:rowOff>
    </xdr:to>
    <xdr:sp>
      <xdr:nvSpPr>
        <xdr:cNvPr id="4" name="Oval 61"/>
        <xdr:cNvSpPr>
          <a:spLocks/>
        </xdr:cNvSpPr>
      </xdr:nvSpPr>
      <xdr:spPr>
        <a:xfrm>
          <a:off x="12687300" y="295275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20</xdr:col>
      <xdr:colOff>190500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" name="Line 129"/>
        <xdr:cNvSpPr>
          <a:spLocks/>
        </xdr:cNvSpPr>
      </xdr:nvSpPr>
      <xdr:spPr>
        <a:xfrm>
          <a:off x="10591800" y="1028700"/>
          <a:ext cx="45148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15</xdr:col>
      <xdr:colOff>447675</xdr:colOff>
      <xdr:row>5</xdr:row>
      <xdr:rowOff>0</xdr:rowOff>
    </xdr:from>
    <xdr:to>
      <xdr:col>21</xdr:col>
      <xdr:colOff>0</xdr:colOff>
      <xdr:row>11</xdr:row>
      <xdr:rowOff>19050</xdr:rowOff>
    </xdr:to>
    <xdr:sp>
      <xdr:nvSpPr>
        <xdr:cNvPr id="6" name="Line 133"/>
        <xdr:cNvSpPr>
          <a:spLocks/>
        </xdr:cNvSpPr>
      </xdr:nvSpPr>
      <xdr:spPr>
        <a:xfrm>
          <a:off x="8524875" y="866775"/>
          <a:ext cx="207645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47</xdr:col>
      <xdr:colOff>66675</xdr:colOff>
      <xdr:row>6</xdr:row>
      <xdr:rowOff>66675</xdr:rowOff>
    </xdr:from>
    <xdr:to>
      <xdr:col>54</xdr:col>
      <xdr:colOff>9525</xdr:colOff>
      <xdr:row>10</xdr:row>
      <xdr:rowOff>123825</xdr:rowOff>
    </xdr:to>
    <xdr:grpSp>
      <xdr:nvGrpSpPr>
        <xdr:cNvPr id="7" name="Group 145"/>
        <xdr:cNvGrpSpPr>
          <a:grpSpLocks/>
        </xdr:cNvGrpSpPr>
      </xdr:nvGrpSpPr>
      <xdr:grpSpPr>
        <a:xfrm>
          <a:off x="14697075" y="1095375"/>
          <a:ext cx="1028700" cy="762000"/>
          <a:chOff x="1500" y="113"/>
          <a:chExt cx="113" cy="77"/>
        </a:xfrm>
        <a:solidFill>
          <a:srgbClr val="FFFFFF"/>
        </a:solidFill>
      </xdr:grpSpPr>
      <xdr:sp>
        <xdr:nvSpPr>
          <xdr:cNvPr id="8" name="Line 136"/>
          <xdr:cNvSpPr>
            <a:spLocks/>
          </xdr:cNvSpPr>
        </xdr:nvSpPr>
        <xdr:spPr>
          <a:xfrm>
            <a:off x="1524" y="176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9" name="Line 137"/>
          <xdr:cNvSpPr>
            <a:spLocks/>
          </xdr:cNvSpPr>
        </xdr:nvSpPr>
        <xdr:spPr>
          <a:xfrm>
            <a:off x="1501" y="150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0" name="Line 138"/>
          <xdr:cNvSpPr>
            <a:spLocks/>
          </xdr:cNvSpPr>
        </xdr:nvSpPr>
        <xdr:spPr>
          <a:xfrm>
            <a:off x="1500" y="166"/>
            <a:ext cx="1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1" name="Line 139"/>
          <xdr:cNvSpPr>
            <a:spLocks/>
          </xdr:cNvSpPr>
        </xdr:nvSpPr>
        <xdr:spPr>
          <a:xfrm>
            <a:off x="1582" y="113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2" name="Line 140"/>
          <xdr:cNvSpPr>
            <a:spLocks/>
          </xdr:cNvSpPr>
        </xdr:nvSpPr>
        <xdr:spPr>
          <a:xfrm>
            <a:off x="1598" y="125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3" name="Oval 141"/>
          <xdr:cNvSpPr>
            <a:spLocks/>
          </xdr:cNvSpPr>
        </xdr:nvSpPr>
        <xdr:spPr>
          <a:xfrm>
            <a:off x="1578" y="14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4" name="Oval 142"/>
          <xdr:cNvSpPr>
            <a:spLocks/>
          </xdr:cNvSpPr>
        </xdr:nvSpPr>
        <xdr:spPr>
          <a:xfrm>
            <a:off x="1578" y="17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5" name="Oval 143"/>
          <xdr:cNvSpPr>
            <a:spLocks/>
          </xdr:cNvSpPr>
        </xdr:nvSpPr>
        <xdr:spPr>
          <a:xfrm>
            <a:off x="1594" y="16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6" name="Oval 144"/>
          <xdr:cNvSpPr>
            <a:spLocks/>
          </xdr:cNvSpPr>
        </xdr:nvSpPr>
        <xdr:spPr>
          <a:xfrm>
            <a:off x="1594" y="17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28</xdr:col>
      <xdr:colOff>19050</xdr:colOff>
      <xdr:row>18</xdr:row>
      <xdr:rowOff>38100</xdr:rowOff>
    </xdr:from>
    <xdr:to>
      <xdr:col>28</xdr:col>
      <xdr:colOff>114300</xdr:colOff>
      <xdr:row>18</xdr:row>
      <xdr:rowOff>38100</xdr:rowOff>
    </xdr:to>
    <xdr:sp>
      <xdr:nvSpPr>
        <xdr:cNvPr id="17" name="Line 146"/>
        <xdr:cNvSpPr>
          <a:spLocks/>
        </xdr:cNvSpPr>
      </xdr:nvSpPr>
      <xdr:spPr>
        <a:xfrm>
          <a:off x="11687175" y="31813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10</xdr:col>
      <xdr:colOff>95250</xdr:colOff>
      <xdr:row>83</xdr:row>
      <xdr:rowOff>0</xdr:rowOff>
    </xdr:from>
    <xdr:to>
      <xdr:col>10</xdr:col>
      <xdr:colOff>304800</xdr:colOff>
      <xdr:row>84</xdr:row>
      <xdr:rowOff>0</xdr:rowOff>
    </xdr:to>
    <xdr:sp>
      <xdr:nvSpPr>
        <xdr:cNvPr id="18" name="Rectangle 147"/>
        <xdr:cNvSpPr>
          <a:spLocks/>
        </xdr:cNvSpPr>
      </xdr:nvSpPr>
      <xdr:spPr>
        <a:xfrm>
          <a:off x="5829300" y="15925800"/>
          <a:ext cx="209550" cy="161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10</xdr:col>
      <xdr:colOff>209550</xdr:colOff>
      <xdr:row>82</xdr:row>
      <xdr:rowOff>114300</xdr:rowOff>
    </xdr:from>
    <xdr:to>
      <xdr:col>11</xdr:col>
      <xdr:colOff>19050</xdr:colOff>
      <xdr:row>83</xdr:row>
      <xdr:rowOff>114300</xdr:rowOff>
    </xdr:to>
    <xdr:sp>
      <xdr:nvSpPr>
        <xdr:cNvPr id="19" name="Line 148"/>
        <xdr:cNvSpPr>
          <a:spLocks/>
        </xdr:cNvSpPr>
      </xdr:nvSpPr>
      <xdr:spPr>
        <a:xfrm flipH="1">
          <a:off x="5943600" y="15859125"/>
          <a:ext cx="200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21</xdr:col>
      <xdr:colOff>85725</xdr:colOff>
      <xdr:row>33</xdr:row>
      <xdr:rowOff>66675</xdr:rowOff>
    </xdr:from>
    <xdr:to>
      <xdr:col>54</xdr:col>
      <xdr:colOff>9525</xdr:colOff>
      <xdr:row>33</xdr:row>
      <xdr:rowOff>85725</xdr:rowOff>
    </xdr:to>
    <xdr:sp>
      <xdr:nvSpPr>
        <xdr:cNvPr id="20" name="Line 149"/>
        <xdr:cNvSpPr>
          <a:spLocks/>
        </xdr:cNvSpPr>
      </xdr:nvSpPr>
      <xdr:spPr>
        <a:xfrm>
          <a:off x="10687050" y="5915025"/>
          <a:ext cx="5038725" cy="19050"/>
        </a:xfrm>
        <a:prstGeom prst="line">
          <a:avLst/>
        </a:prstGeom>
        <a:noFill/>
        <a:ln w="127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19</xdr:col>
      <xdr:colOff>419100</xdr:colOff>
      <xdr:row>32</xdr:row>
      <xdr:rowOff>123825</xdr:rowOff>
    </xdr:from>
    <xdr:to>
      <xdr:col>21</xdr:col>
      <xdr:colOff>47625</xdr:colOff>
      <xdr:row>34</xdr:row>
      <xdr:rowOff>66675</xdr:rowOff>
    </xdr:to>
    <xdr:sp>
      <xdr:nvSpPr>
        <xdr:cNvPr id="21" name="Oval 150"/>
        <xdr:cNvSpPr>
          <a:spLocks/>
        </xdr:cNvSpPr>
      </xdr:nvSpPr>
      <xdr:spPr>
        <a:xfrm>
          <a:off x="10363200" y="5791200"/>
          <a:ext cx="2857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23</xdr:col>
      <xdr:colOff>114300</xdr:colOff>
      <xdr:row>47</xdr:row>
      <xdr:rowOff>142875</xdr:rowOff>
    </xdr:from>
    <xdr:to>
      <xdr:col>24</xdr:col>
      <xdr:colOff>38100</xdr:colOff>
      <xdr:row>48</xdr:row>
      <xdr:rowOff>38100</xdr:rowOff>
    </xdr:to>
    <xdr:sp>
      <xdr:nvSpPr>
        <xdr:cNvPr id="22" name="Oval 155"/>
        <xdr:cNvSpPr>
          <a:spLocks/>
        </xdr:cNvSpPr>
      </xdr:nvSpPr>
      <xdr:spPr>
        <a:xfrm>
          <a:off x="11020425" y="83724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23</xdr:col>
      <xdr:colOff>123825</xdr:colOff>
      <xdr:row>49</xdr:row>
      <xdr:rowOff>142875</xdr:rowOff>
    </xdr:from>
    <xdr:to>
      <xdr:col>24</xdr:col>
      <xdr:colOff>47625</xdr:colOff>
      <xdr:row>50</xdr:row>
      <xdr:rowOff>38100</xdr:rowOff>
    </xdr:to>
    <xdr:sp>
      <xdr:nvSpPr>
        <xdr:cNvPr id="23" name="Oval 156"/>
        <xdr:cNvSpPr>
          <a:spLocks/>
        </xdr:cNvSpPr>
      </xdr:nvSpPr>
      <xdr:spPr>
        <a:xfrm>
          <a:off x="11029950" y="87153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28</xdr:col>
      <xdr:colOff>114300</xdr:colOff>
      <xdr:row>47</xdr:row>
      <xdr:rowOff>142875</xdr:rowOff>
    </xdr:from>
    <xdr:to>
      <xdr:col>29</xdr:col>
      <xdr:colOff>38100</xdr:colOff>
      <xdr:row>48</xdr:row>
      <xdr:rowOff>38100</xdr:rowOff>
    </xdr:to>
    <xdr:sp>
      <xdr:nvSpPr>
        <xdr:cNvPr id="24" name="Oval 157"/>
        <xdr:cNvSpPr>
          <a:spLocks/>
        </xdr:cNvSpPr>
      </xdr:nvSpPr>
      <xdr:spPr>
        <a:xfrm>
          <a:off x="11782425" y="83724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46</xdr:col>
      <xdr:colOff>114300</xdr:colOff>
      <xdr:row>49</xdr:row>
      <xdr:rowOff>142875</xdr:rowOff>
    </xdr:from>
    <xdr:to>
      <xdr:col>47</xdr:col>
      <xdr:colOff>38100</xdr:colOff>
      <xdr:row>50</xdr:row>
      <xdr:rowOff>38100</xdr:rowOff>
    </xdr:to>
    <xdr:sp>
      <xdr:nvSpPr>
        <xdr:cNvPr id="25" name="Oval 158"/>
        <xdr:cNvSpPr>
          <a:spLocks/>
        </xdr:cNvSpPr>
      </xdr:nvSpPr>
      <xdr:spPr>
        <a:xfrm>
          <a:off x="14582775" y="871537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42</xdr:col>
      <xdr:colOff>123825</xdr:colOff>
      <xdr:row>47</xdr:row>
      <xdr:rowOff>142875</xdr:rowOff>
    </xdr:from>
    <xdr:to>
      <xdr:col>43</xdr:col>
      <xdr:colOff>47625</xdr:colOff>
      <xdr:row>48</xdr:row>
      <xdr:rowOff>38100</xdr:rowOff>
    </xdr:to>
    <xdr:sp>
      <xdr:nvSpPr>
        <xdr:cNvPr id="26" name="Oval 159"/>
        <xdr:cNvSpPr>
          <a:spLocks/>
        </xdr:cNvSpPr>
      </xdr:nvSpPr>
      <xdr:spPr>
        <a:xfrm>
          <a:off x="13982700" y="83724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46</xdr:col>
      <xdr:colOff>123825</xdr:colOff>
      <xdr:row>47</xdr:row>
      <xdr:rowOff>142875</xdr:rowOff>
    </xdr:from>
    <xdr:to>
      <xdr:col>47</xdr:col>
      <xdr:colOff>47625</xdr:colOff>
      <xdr:row>48</xdr:row>
      <xdr:rowOff>38100</xdr:rowOff>
    </xdr:to>
    <xdr:sp>
      <xdr:nvSpPr>
        <xdr:cNvPr id="27" name="Oval 160"/>
        <xdr:cNvSpPr>
          <a:spLocks/>
        </xdr:cNvSpPr>
      </xdr:nvSpPr>
      <xdr:spPr>
        <a:xfrm>
          <a:off x="14592300" y="837247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32</xdr:col>
      <xdr:colOff>142875</xdr:colOff>
      <xdr:row>69</xdr:row>
      <xdr:rowOff>295275</xdr:rowOff>
    </xdr:from>
    <xdr:to>
      <xdr:col>44</xdr:col>
      <xdr:colOff>142875</xdr:colOff>
      <xdr:row>70</xdr:row>
      <xdr:rowOff>0</xdr:rowOff>
    </xdr:to>
    <xdr:sp>
      <xdr:nvSpPr>
        <xdr:cNvPr id="28" name="Rectangle 169"/>
        <xdr:cNvSpPr>
          <a:spLocks/>
        </xdr:cNvSpPr>
      </xdr:nvSpPr>
      <xdr:spPr>
        <a:xfrm>
          <a:off x="12420600" y="12592050"/>
          <a:ext cx="1885950" cy="10477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32</xdr:col>
      <xdr:colOff>133350</xdr:colOff>
      <xdr:row>67</xdr:row>
      <xdr:rowOff>95250</xdr:rowOff>
    </xdr:from>
    <xdr:to>
      <xdr:col>44</xdr:col>
      <xdr:colOff>133350</xdr:colOff>
      <xdr:row>68</xdr:row>
      <xdr:rowOff>0</xdr:rowOff>
    </xdr:to>
    <xdr:sp>
      <xdr:nvSpPr>
        <xdr:cNvPr id="29" name="Rectangle 183"/>
        <xdr:cNvSpPr>
          <a:spLocks/>
        </xdr:cNvSpPr>
      </xdr:nvSpPr>
      <xdr:spPr>
        <a:xfrm>
          <a:off x="12411075" y="11811000"/>
          <a:ext cx="1885950" cy="857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34</xdr:col>
      <xdr:colOff>95250</xdr:colOff>
      <xdr:row>72</xdr:row>
      <xdr:rowOff>0</xdr:rowOff>
    </xdr:from>
    <xdr:to>
      <xdr:col>43</xdr:col>
      <xdr:colOff>57150</xdr:colOff>
      <xdr:row>72</xdr:row>
      <xdr:rowOff>66675</xdr:rowOff>
    </xdr:to>
    <xdr:grpSp>
      <xdr:nvGrpSpPr>
        <xdr:cNvPr id="30" name="Group 198"/>
        <xdr:cNvGrpSpPr>
          <a:grpSpLocks/>
        </xdr:cNvGrpSpPr>
      </xdr:nvGrpSpPr>
      <xdr:grpSpPr>
        <a:xfrm>
          <a:off x="12677775" y="13496925"/>
          <a:ext cx="1390650" cy="66675"/>
          <a:chOff x="1304" y="1347"/>
          <a:chExt cx="146" cy="7"/>
        </a:xfrm>
        <a:solidFill>
          <a:srgbClr val="FFFFFF"/>
        </a:solidFill>
      </xdr:grpSpPr>
      <xdr:sp>
        <xdr:nvSpPr>
          <xdr:cNvPr id="31" name="Rectangle 171"/>
          <xdr:cNvSpPr>
            <a:spLocks/>
          </xdr:cNvSpPr>
        </xdr:nvSpPr>
        <xdr:spPr>
          <a:xfrm>
            <a:off x="1304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2" name="Rectangle 194"/>
          <xdr:cNvSpPr>
            <a:spLocks/>
          </xdr:cNvSpPr>
        </xdr:nvSpPr>
        <xdr:spPr>
          <a:xfrm>
            <a:off x="1342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3" name="Rectangle 195"/>
          <xdr:cNvSpPr>
            <a:spLocks/>
          </xdr:cNvSpPr>
        </xdr:nvSpPr>
        <xdr:spPr>
          <a:xfrm>
            <a:off x="1374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4" name="Rectangle 196"/>
          <xdr:cNvSpPr>
            <a:spLocks/>
          </xdr:cNvSpPr>
        </xdr:nvSpPr>
        <xdr:spPr>
          <a:xfrm>
            <a:off x="1406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5" name="Rectangle 197"/>
          <xdr:cNvSpPr>
            <a:spLocks/>
          </xdr:cNvSpPr>
        </xdr:nvSpPr>
        <xdr:spPr>
          <a:xfrm>
            <a:off x="1438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69</xdr:row>
      <xdr:rowOff>123825</xdr:rowOff>
    </xdr:from>
    <xdr:to>
      <xdr:col>52</xdr:col>
      <xdr:colOff>133350</xdr:colOff>
      <xdr:row>69</xdr:row>
      <xdr:rowOff>285750</xdr:rowOff>
    </xdr:to>
    <xdr:sp>
      <xdr:nvSpPr>
        <xdr:cNvPr id="36" name="Rectangle 199"/>
        <xdr:cNvSpPr>
          <a:spLocks/>
        </xdr:cNvSpPr>
      </xdr:nvSpPr>
      <xdr:spPr>
        <a:xfrm>
          <a:off x="14392275" y="12420600"/>
          <a:ext cx="1152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K = rigideces x10^4 E </a:t>
          </a:r>
        </a:p>
      </xdr:txBody>
    </xdr:sp>
    <xdr:clientData/>
  </xdr:twoCellAnchor>
  <xdr:twoCellAnchor>
    <xdr:from>
      <xdr:col>44</xdr:col>
      <xdr:colOff>76200</xdr:colOff>
      <xdr:row>70</xdr:row>
      <xdr:rowOff>28575</xdr:rowOff>
    </xdr:from>
    <xdr:to>
      <xdr:col>54</xdr:col>
      <xdr:colOff>66675</xdr:colOff>
      <xdr:row>70</xdr:row>
      <xdr:rowOff>238125</xdr:rowOff>
    </xdr:to>
    <xdr:sp>
      <xdr:nvSpPr>
        <xdr:cNvPr id="37" name="Rectangle 200"/>
        <xdr:cNvSpPr>
          <a:spLocks/>
        </xdr:cNvSpPr>
      </xdr:nvSpPr>
      <xdr:spPr>
        <a:xfrm>
          <a:off x="14239875" y="12725400"/>
          <a:ext cx="1543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FT = facto de transporte</a:t>
          </a:r>
        </a:p>
      </xdr:txBody>
    </xdr:sp>
    <xdr:clientData/>
  </xdr:twoCellAnchor>
  <xdr:twoCellAnchor>
    <xdr:from>
      <xdr:col>30</xdr:col>
      <xdr:colOff>47625</xdr:colOff>
      <xdr:row>69</xdr:row>
      <xdr:rowOff>19050</xdr:rowOff>
    </xdr:from>
    <xdr:to>
      <xdr:col>32</xdr:col>
      <xdr:colOff>142875</xdr:colOff>
      <xdr:row>69</xdr:row>
      <xdr:rowOff>295275</xdr:rowOff>
    </xdr:to>
    <xdr:sp>
      <xdr:nvSpPr>
        <xdr:cNvPr id="38" name="Line 201"/>
        <xdr:cNvSpPr>
          <a:spLocks/>
        </xdr:cNvSpPr>
      </xdr:nvSpPr>
      <xdr:spPr>
        <a:xfrm>
          <a:off x="12020550" y="12315825"/>
          <a:ext cx="4000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19</xdr:col>
      <xdr:colOff>200025</xdr:colOff>
      <xdr:row>24</xdr:row>
      <xdr:rowOff>171450</xdr:rowOff>
    </xdr:from>
    <xdr:to>
      <xdr:col>19</xdr:col>
      <xdr:colOff>200025</xdr:colOff>
      <xdr:row>28</xdr:row>
      <xdr:rowOff>133350</xdr:rowOff>
    </xdr:to>
    <xdr:sp>
      <xdr:nvSpPr>
        <xdr:cNvPr id="39" name="Line 209"/>
        <xdr:cNvSpPr>
          <a:spLocks/>
        </xdr:cNvSpPr>
      </xdr:nvSpPr>
      <xdr:spPr>
        <a:xfrm flipV="1">
          <a:off x="10144125" y="44100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19</xdr:col>
      <xdr:colOff>200025</xdr:colOff>
      <xdr:row>30</xdr:row>
      <xdr:rowOff>57150</xdr:rowOff>
    </xdr:from>
    <xdr:to>
      <xdr:col>19</xdr:col>
      <xdr:colOff>200025</xdr:colOff>
      <xdr:row>33</xdr:row>
      <xdr:rowOff>85725</xdr:rowOff>
    </xdr:to>
    <xdr:sp>
      <xdr:nvSpPr>
        <xdr:cNvPr id="40" name="Line 211"/>
        <xdr:cNvSpPr>
          <a:spLocks/>
        </xdr:cNvSpPr>
      </xdr:nvSpPr>
      <xdr:spPr>
        <a:xfrm>
          <a:off x="10144125" y="53816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19</xdr:col>
      <xdr:colOff>9525</xdr:colOff>
      <xdr:row>33</xdr:row>
      <xdr:rowOff>76200</xdr:rowOff>
    </xdr:from>
    <xdr:to>
      <xdr:col>19</xdr:col>
      <xdr:colOff>371475</xdr:colOff>
      <xdr:row>33</xdr:row>
      <xdr:rowOff>76200</xdr:rowOff>
    </xdr:to>
    <xdr:sp>
      <xdr:nvSpPr>
        <xdr:cNvPr id="41" name="Line 212"/>
        <xdr:cNvSpPr>
          <a:spLocks/>
        </xdr:cNvSpPr>
      </xdr:nvSpPr>
      <xdr:spPr>
        <a:xfrm flipH="1">
          <a:off x="9953625" y="5924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19</xdr:col>
      <xdr:colOff>200025</xdr:colOff>
      <xdr:row>33</xdr:row>
      <xdr:rowOff>85725</xdr:rowOff>
    </xdr:from>
    <xdr:to>
      <xdr:col>19</xdr:col>
      <xdr:colOff>200025</xdr:colOff>
      <xdr:row>36</xdr:row>
      <xdr:rowOff>19050</xdr:rowOff>
    </xdr:to>
    <xdr:sp>
      <xdr:nvSpPr>
        <xdr:cNvPr id="42" name="Line 213"/>
        <xdr:cNvSpPr>
          <a:spLocks/>
        </xdr:cNvSpPr>
      </xdr:nvSpPr>
      <xdr:spPr>
        <a:xfrm flipV="1">
          <a:off x="10144125" y="59340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19</xdr:col>
      <xdr:colOff>200025</xdr:colOff>
      <xdr:row>37</xdr:row>
      <xdr:rowOff>95250</xdr:rowOff>
    </xdr:from>
    <xdr:to>
      <xdr:col>19</xdr:col>
      <xdr:colOff>200025</xdr:colOff>
      <xdr:row>41</xdr:row>
      <xdr:rowOff>171450</xdr:rowOff>
    </xdr:to>
    <xdr:sp>
      <xdr:nvSpPr>
        <xdr:cNvPr id="43" name="Line 214"/>
        <xdr:cNvSpPr>
          <a:spLocks/>
        </xdr:cNvSpPr>
      </xdr:nvSpPr>
      <xdr:spPr>
        <a:xfrm>
          <a:off x="10144125" y="661035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58</xdr:col>
      <xdr:colOff>485775</xdr:colOff>
      <xdr:row>26</xdr:row>
      <xdr:rowOff>142875</xdr:rowOff>
    </xdr:from>
    <xdr:to>
      <xdr:col>58</xdr:col>
      <xdr:colOff>647700</xdr:colOff>
      <xdr:row>28</xdr:row>
      <xdr:rowOff>47625</xdr:rowOff>
    </xdr:to>
    <xdr:sp>
      <xdr:nvSpPr>
        <xdr:cNvPr id="44" name="Rectangle 228"/>
        <xdr:cNvSpPr>
          <a:spLocks/>
        </xdr:cNvSpPr>
      </xdr:nvSpPr>
      <xdr:spPr>
        <a:xfrm>
          <a:off x="18440400" y="474345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Comic Sans MS"/>
              <a:ea typeface="Comic Sans MS"/>
              <a:cs typeface="Comic Sans MS"/>
            </a:rPr>
            <a:t>+</a:t>
          </a:r>
        </a:p>
      </xdr:txBody>
    </xdr:sp>
    <xdr:clientData/>
  </xdr:twoCellAnchor>
  <xdr:twoCellAnchor>
    <xdr:from>
      <xdr:col>58</xdr:col>
      <xdr:colOff>352425</xdr:colOff>
      <xdr:row>33</xdr:row>
      <xdr:rowOff>38100</xdr:rowOff>
    </xdr:from>
    <xdr:to>
      <xdr:col>58</xdr:col>
      <xdr:colOff>352425</xdr:colOff>
      <xdr:row>39</xdr:row>
      <xdr:rowOff>85725</xdr:rowOff>
    </xdr:to>
    <xdr:sp>
      <xdr:nvSpPr>
        <xdr:cNvPr id="45" name="Line 231"/>
        <xdr:cNvSpPr>
          <a:spLocks/>
        </xdr:cNvSpPr>
      </xdr:nvSpPr>
      <xdr:spPr>
        <a:xfrm>
          <a:off x="18307050" y="5886450"/>
          <a:ext cx="0" cy="1038225"/>
        </a:xfrm>
        <a:prstGeom prst="line">
          <a:avLst/>
        </a:prstGeom>
        <a:noFill/>
        <a:ln w="127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58</xdr:col>
      <xdr:colOff>219075</xdr:colOff>
      <xdr:row>31</xdr:row>
      <xdr:rowOff>114300</xdr:rowOff>
    </xdr:from>
    <xdr:to>
      <xdr:col>58</xdr:col>
      <xdr:colOff>504825</xdr:colOff>
      <xdr:row>33</xdr:row>
      <xdr:rowOff>28575</xdr:rowOff>
    </xdr:to>
    <xdr:sp>
      <xdr:nvSpPr>
        <xdr:cNvPr id="46" name="Oval 232"/>
        <xdr:cNvSpPr>
          <a:spLocks/>
        </xdr:cNvSpPr>
      </xdr:nvSpPr>
      <xdr:spPr>
        <a:xfrm>
          <a:off x="18173700" y="5619750"/>
          <a:ext cx="285750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69</xdr:col>
      <xdr:colOff>66675</xdr:colOff>
      <xdr:row>33</xdr:row>
      <xdr:rowOff>38100</xdr:rowOff>
    </xdr:from>
    <xdr:to>
      <xdr:col>69</xdr:col>
      <xdr:colOff>66675</xdr:colOff>
      <xdr:row>39</xdr:row>
      <xdr:rowOff>123825</xdr:rowOff>
    </xdr:to>
    <xdr:sp>
      <xdr:nvSpPr>
        <xdr:cNvPr id="47" name="Line 237"/>
        <xdr:cNvSpPr>
          <a:spLocks/>
        </xdr:cNvSpPr>
      </xdr:nvSpPr>
      <xdr:spPr>
        <a:xfrm>
          <a:off x="21364575" y="5886450"/>
          <a:ext cx="0" cy="1076325"/>
        </a:xfrm>
        <a:prstGeom prst="line">
          <a:avLst/>
        </a:prstGeom>
        <a:noFill/>
        <a:ln w="127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68</xdr:col>
      <xdr:colOff>85725</xdr:colOff>
      <xdr:row>31</xdr:row>
      <xdr:rowOff>114300</xdr:rowOff>
    </xdr:from>
    <xdr:to>
      <xdr:col>70</xdr:col>
      <xdr:colOff>66675</xdr:colOff>
      <xdr:row>33</xdr:row>
      <xdr:rowOff>28575</xdr:rowOff>
    </xdr:to>
    <xdr:sp>
      <xdr:nvSpPr>
        <xdr:cNvPr id="48" name="Oval 238"/>
        <xdr:cNvSpPr>
          <a:spLocks/>
        </xdr:cNvSpPr>
      </xdr:nvSpPr>
      <xdr:spPr>
        <a:xfrm>
          <a:off x="21231225" y="5619750"/>
          <a:ext cx="285750" cy="2571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73</xdr:col>
      <xdr:colOff>19050</xdr:colOff>
      <xdr:row>33</xdr:row>
      <xdr:rowOff>47625</xdr:rowOff>
    </xdr:from>
    <xdr:to>
      <xdr:col>79</xdr:col>
      <xdr:colOff>114300</xdr:colOff>
      <xdr:row>38</xdr:row>
      <xdr:rowOff>0</xdr:rowOff>
    </xdr:to>
    <xdr:grpSp>
      <xdr:nvGrpSpPr>
        <xdr:cNvPr id="49" name="Group 284"/>
        <xdr:cNvGrpSpPr>
          <a:grpSpLocks/>
        </xdr:cNvGrpSpPr>
      </xdr:nvGrpSpPr>
      <xdr:grpSpPr>
        <a:xfrm>
          <a:off x="21926550" y="5895975"/>
          <a:ext cx="1009650" cy="781050"/>
          <a:chOff x="1500" y="113"/>
          <a:chExt cx="113" cy="77"/>
        </a:xfrm>
        <a:solidFill>
          <a:srgbClr val="FFFFFF"/>
        </a:solidFill>
      </xdr:grpSpPr>
      <xdr:sp>
        <xdr:nvSpPr>
          <xdr:cNvPr id="50" name="Line 285"/>
          <xdr:cNvSpPr>
            <a:spLocks/>
          </xdr:cNvSpPr>
        </xdr:nvSpPr>
        <xdr:spPr>
          <a:xfrm>
            <a:off x="1524" y="176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1" name="Line 286"/>
          <xdr:cNvSpPr>
            <a:spLocks/>
          </xdr:cNvSpPr>
        </xdr:nvSpPr>
        <xdr:spPr>
          <a:xfrm>
            <a:off x="1501" y="150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2" name="Line 287"/>
          <xdr:cNvSpPr>
            <a:spLocks/>
          </xdr:cNvSpPr>
        </xdr:nvSpPr>
        <xdr:spPr>
          <a:xfrm>
            <a:off x="1500" y="166"/>
            <a:ext cx="1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3" name="Line 288"/>
          <xdr:cNvSpPr>
            <a:spLocks/>
          </xdr:cNvSpPr>
        </xdr:nvSpPr>
        <xdr:spPr>
          <a:xfrm>
            <a:off x="1582" y="113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4" name="Line 289"/>
          <xdr:cNvSpPr>
            <a:spLocks/>
          </xdr:cNvSpPr>
        </xdr:nvSpPr>
        <xdr:spPr>
          <a:xfrm>
            <a:off x="1598" y="125"/>
            <a:ext cx="0" cy="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5" name="Oval 290"/>
          <xdr:cNvSpPr>
            <a:spLocks/>
          </xdr:cNvSpPr>
        </xdr:nvSpPr>
        <xdr:spPr>
          <a:xfrm>
            <a:off x="1578" y="145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6" name="Oval 291"/>
          <xdr:cNvSpPr>
            <a:spLocks/>
          </xdr:cNvSpPr>
        </xdr:nvSpPr>
        <xdr:spPr>
          <a:xfrm>
            <a:off x="1578" y="17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7" name="Oval 292"/>
          <xdr:cNvSpPr>
            <a:spLocks/>
          </xdr:cNvSpPr>
        </xdr:nvSpPr>
        <xdr:spPr>
          <a:xfrm>
            <a:off x="1594" y="161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58" name="Oval 293"/>
          <xdr:cNvSpPr>
            <a:spLocks/>
          </xdr:cNvSpPr>
        </xdr:nvSpPr>
        <xdr:spPr>
          <a:xfrm>
            <a:off x="1594" y="173"/>
            <a:ext cx="8" cy="8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62</xdr:col>
      <xdr:colOff>28575</xdr:colOff>
      <xdr:row>51</xdr:row>
      <xdr:rowOff>47625</xdr:rowOff>
    </xdr:from>
    <xdr:to>
      <xdr:col>62</xdr:col>
      <xdr:colOff>104775</xdr:colOff>
      <xdr:row>51</xdr:row>
      <xdr:rowOff>47625</xdr:rowOff>
    </xdr:to>
    <xdr:sp>
      <xdr:nvSpPr>
        <xdr:cNvPr id="59" name="Line 296"/>
        <xdr:cNvSpPr>
          <a:spLocks/>
        </xdr:cNvSpPr>
      </xdr:nvSpPr>
      <xdr:spPr>
        <a:xfrm>
          <a:off x="20259675" y="8963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61</xdr:col>
      <xdr:colOff>495300</xdr:colOff>
      <xdr:row>83</xdr:row>
      <xdr:rowOff>85725</xdr:rowOff>
    </xdr:from>
    <xdr:to>
      <xdr:col>74</xdr:col>
      <xdr:colOff>28575</xdr:colOff>
      <xdr:row>83</xdr:row>
      <xdr:rowOff>161925</xdr:rowOff>
    </xdr:to>
    <xdr:sp>
      <xdr:nvSpPr>
        <xdr:cNvPr id="60" name="Rectangle 328"/>
        <xdr:cNvSpPr>
          <a:spLocks/>
        </xdr:cNvSpPr>
      </xdr:nvSpPr>
      <xdr:spPr>
        <a:xfrm>
          <a:off x="20202525" y="16011525"/>
          <a:ext cx="1885950" cy="762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61</xdr:col>
      <xdr:colOff>495300</xdr:colOff>
      <xdr:row>87</xdr:row>
      <xdr:rowOff>142875</xdr:rowOff>
    </xdr:from>
    <xdr:to>
      <xdr:col>74</xdr:col>
      <xdr:colOff>28575</xdr:colOff>
      <xdr:row>88</xdr:row>
      <xdr:rowOff>47625</xdr:rowOff>
    </xdr:to>
    <xdr:sp>
      <xdr:nvSpPr>
        <xdr:cNvPr id="61" name="Rectangle 329"/>
        <xdr:cNvSpPr>
          <a:spLocks/>
        </xdr:cNvSpPr>
      </xdr:nvSpPr>
      <xdr:spPr>
        <a:xfrm>
          <a:off x="20202525" y="16773525"/>
          <a:ext cx="1885950" cy="857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74</xdr:col>
      <xdr:colOff>66675</xdr:colOff>
      <xdr:row>86</xdr:row>
      <xdr:rowOff>133350</xdr:rowOff>
    </xdr:from>
    <xdr:to>
      <xdr:col>80</xdr:col>
      <xdr:colOff>304800</xdr:colOff>
      <xdr:row>87</xdr:row>
      <xdr:rowOff>114300</xdr:rowOff>
    </xdr:to>
    <xdr:sp>
      <xdr:nvSpPr>
        <xdr:cNvPr id="62" name="Rectangle 330"/>
        <xdr:cNvSpPr>
          <a:spLocks/>
        </xdr:cNvSpPr>
      </xdr:nvSpPr>
      <xdr:spPr>
        <a:xfrm>
          <a:off x="22126575" y="16573500"/>
          <a:ext cx="11525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K = rigideces x10^4 E </a:t>
          </a:r>
        </a:p>
      </xdr:txBody>
    </xdr:sp>
    <xdr:clientData/>
  </xdr:twoCellAnchor>
  <xdr:twoCellAnchor>
    <xdr:from>
      <xdr:col>73</xdr:col>
      <xdr:colOff>85725</xdr:colOff>
      <xdr:row>88</xdr:row>
      <xdr:rowOff>114300</xdr:rowOff>
    </xdr:from>
    <xdr:to>
      <xdr:col>80</xdr:col>
      <xdr:colOff>409575</xdr:colOff>
      <xdr:row>89</xdr:row>
      <xdr:rowOff>142875</xdr:rowOff>
    </xdr:to>
    <xdr:sp>
      <xdr:nvSpPr>
        <xdr:cNvPr id="63" name="Rectangle 331"/>
        <xdr:cNvSpPr>
          <a:spLocks/>
        </xdr:cNvSpPr>
      </xdr:nvSpPr>
      <xdr:spPr>
        <a:xfrm>
          <a:off x="21993225" y="16925925"/>
          <a:ext cx="1390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Comic Sans MS"/>
              <a:ea typeface="Comic Sans MS"/>
              <a:cs typeface="Comic Sans MS"/>
            </a:rPr>
            <a:t>FT = facto de transporte</a:t>
          </a:r>
        </a:p>
      </xdr:txBody>
    </xdr:sp>
    <xdr:clientData/>
  </xdr:twoCellAnchor>
  <xdr:twoCellAnchor>
    <xdr:from>
      <xdr:col>63</xdr:col>
      <xdr:colOff>95250</xdr:colOff>
      <xdr:row>92</xdr:row>
      <xdr:rowOff>28575</xdr:rowOff>
    </xdr:from>
    <xdr:to>
      <xdr:col>72</xdr:col>
      <xdr:colOff>57150</xdr:colOff>
      <xdr:row>92</xdr:row>
      <xdr:rowOff>114300</xdr:rowOff>
    </xdr:to>
    <xdr:grpSp>
      <xdr:nvGrpSpPr>
        <xdr:cNvPr id="64" name="Group 334"/>
        <xdr:cNvGrpSpPr>
          <a:grpSpLocks/>
        </xdr:cNvGrpSpPr>
      </xdr:nvGrpSpPr>
      <xdr:grpSpPr>
        <a:xfrm>
          <a:off x="20478750" y="17506950"/>
          <a:ext cx="1333500" cy="76200"/>
          <a:chOff x="1304" y="1347"/>
          <a:chExt cx="146" cy="7"/>
        </a:xfrm>
        <a:solidFill>
          <a:srgbClr val="FFFFFF"/>
        </a:solidFill>
      </xdr:grpSpPr>
      <xdr:sp>
        <xdr:nvSpPr>
          <xdr:cNvPr id="65" name="Rectangle 335"/>
          <xdr:cNvSpPr>
            <a:spLocks/>
          </xdr:cNvSpPr>
        </xdr:nvSpPr>
        <xdr:spPr>
          <a:xfrm>
            <a:off x="1304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6" name="Rectangle 336"/>
          <xdr:cNvSpPr>
            <a:spLocks/>
          </xdr:cNvSpPr>
        </xdr:nvSpPr>
        <xdr:spPr>
          <a:xfrm>
            <a:off x="1342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7" name="Rectangle 337"/>
          <xdr:cNvSpPr>
            <a:spLocks/>
          </xdr:cNvSpPr>
        </xdr:nvSpPr>
        <xdr:spPr>
          <a:xfrm>
            <a:off x="1374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8" name="Rectangle 338"/>
          <xdr:cNvSpPr>
            <a:spLocks/>
          </xdr:cNvSpPr>
        </xdr:nvSpPr>
        <xdr:spPr>
          <a:xfrm>
            <a:off x="1406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69" name="Rectangle 339"/>
          <xdr:cNvSpPr>
            <a:spLocks/>
          </xdr:cNvSpPr>
        </xdr:nvSpPr>
        <xdr:spPr>
          <a:xfrm>
            <a:off x="1438" y="1347"/>
            <a:ext cx="12" cy="7"/>
          </a:xfrm>
          <a:prstGeom prst="rect">
            <a:avLst/>
          </a:prstGeom>
          <a:pattFill prst="dkVert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60</xdr:col>
      <xdr:colOff>123825</xdr:colOff>
      <xdr:row>86</xdr:row>
      <xdr:rowOff>0</xdr:rowOff>
    </xdr:from>
    <xdr:to>
      <xdr:col>61</xdr:col>
      <xdr:colOff>495300</xdr:colOff>
      <xdr:row>87</xdr:row>
      <xdr:rowOff>142875</xdr:rowOff>
    </xdr:to>
    <xdr:sp>
      <xdr:nvSpPr>
        <xdr:cNvPr id="70" name="Line 346"/>
        <xdr:cNvSpPr>
          <a:spLocks/>
        </xdr:cNvSpPr>
      </xdr:nvSpPr>
      <xdr:spPr>
        <a:xfrm>
          <a:off x="19421475" y="16440150"/>
          <a:ext cx="781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9525</xdr:rowOff>
    </xdr:from>
    <xdr:to>
      <xdr:col>48</xdr:col>
      <xdr:colOff>0</xdr:colOff>
      <xdr:row>11</xdr:row>
      <xdr:rowOff>9525</xdr:rowOff>
    </xdr:to>
    <xdr:sp>
      <xdr:nvSpPr>
        <xdr:cNvPr id="71" name="Line 505"/>
        <xdr:cNvSpPr>
          <a:spLocks/>
        </xdr:cNvSpPr>
      </xdr:nvSpPr>
      <xdr:spPr>
        <a:xfrm>
          <a:off x="8534400" y="876300"/>
          <a:ext cx="62674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18</xdr:col>
      <xdr:colOff>409575</xdr:colOff>
      <xdr:row>12</xdr:row>
      <xdr:rowOff>9525</xdr:rowOff>
    </xdr:from>
    <xdr:to>
      <xdr:col>52</xdr:col>
      <xdr:colOff>19050</xdr:colOff>
      <xdr:row>16</xdr:row>
      <xdr:rowOff>66675</xdr:rowOff>
    </xdr:to>
    <xdr:sp>
      <xdr:nvSpPr>
        <xdr:cNvPr id="72" name="Rectangle 507"/>
        <xdr:cNvSpPr>
          <a:spLocks/>
        </xdr:cNvSpPr>
      </xdr:nvSpPr>
      <xdr:spPr>
        <a:xfrm>
          <a:off x="9896475" y="2066925"/>
          <a:ext cx="55340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35</xdr:col>
      <xdr:colOff>114300</xdr:colOff>
      <xdr:row>3</xdr:row>
      <xdr:rowOff>76200</xdr:rowOff>
    </xdr:from>
    <xdr:to>
      <xdr:col>35</xdr:col>
      <xdr:colOff>114300</xdr:colOff>
      <xdr:row>11</xdr:row>
      <xdr:rowOff>133350</xdr:rowOff>
    </xdr:to>
    <xdr:sp>
      <xdr:nvSpPr>
        <xdr:cNvPr id="73" name="Line 130"/>
        <xdr:cNvSpPr>
          <a:spLocks/>
        </xdr:cNvSpPr>
      </xdr:nvSpPr>
      <xdr:spPr>
        <a:xfrm>
          <a:off x="12849225" y="600075"/>
          <a:ext cx="0" cy="1428750"/>
        </a:xfrm>
        <a:prstGeom prst="line">
          <a:avLst/>
        </a:prstGeom>
        <a:noFill/>
        <a:ln w="127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12</xdr:col>
      <xdr:colOff>333375</xdr:colOff>
      <xdr:row>4</xdr:row>
      <xdr:rowOff>0</xdr:rowOff>
    </xdr:from>
    <xdr:to>
      <xdr:col>13</xdr:col>
      <xdr:colOff>28575</xdr:colOff>
      <xdr:row>4</xdr:row>
      <xdr:rowOff>152400</xdr:rowOff>
    </xdr:to>
    <xdr:sp>
      <xdr:nvSpPr>
        <xdr:cNvPr id="74" name="Rectangle 523"/>
        <xdr:cNvSpPr>
          <a:spLocks/>
        </xdr:cNvSpPr>
      </xdr:nvSpPr>
      <xdr:spPr>
        <a:xfrm>
          <a:off x="6819900" y="704850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X</a:t>
          </a:r>
        </a:p>
      </xdr:txBody>
    </xdr:sp>
    <xdr:clientData/>
  </xdr:twoCellAnchor>
  <xdr:twoCellAnchor>
    <xdr:from>
      <xdr:col>12</xdr:col>
      <xdr:colOff>342900</xdr:colOff>
      <xdr:row>5</xdr:row>
      <xdr:rowOff>0</xdr:rowOff>
    </xdr:from>
    <xdr:to>
      <xdr:col>13</xdr:col>
      <xdr:colOff>38100</xdr:colOff>
      <xdr:row>5</xdr:row>
      <xdr:rowOff>142875</xdr:rowOff>
    </xdr:to>
    <xdr:sp>
      <xdr:nvSpPr>
        <xdr:cNvPr id="75" name="Rectangle 524"/>
        <xdr:cNvSpPr>
          <a:spLocks/>
        </xdr:cNvSpPr>
      </xdr:nvSpPr>
      <xdr:spPr>
        <a:xfrm>
          <a:off x="6829425" y="866775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X</a:t>
          </a:r>
        </a:p>
      </xdr:txBody>
    </xdr:sp>
    <xdr:clientData/>
  </xdr:twoCellAnchor>
  <xdr:twoCellAnchor>
    <xdr:from>
      <xdr:col>14</xdr:col>
      <xdr:colOff>57150</xdr:colOff>
      <xdr:row>3</xdr:row>
      <xdr:rowOff>171450</xdr:rowOff>
    </xdr:from>
    <xdr:to>
      <xdr:col>14</xdr:col>
      <xdr:colOff>190500</xdr:colOff>
      <xdr:row>4</xdr:row>
      <xdr:rowOff>142875</xdr:rowOff>
    </xdr:to>
    <xdr:sp>
      <xdr:nvSpPr>
        <xdr:cNvPr id="76" name="Rectangle 525"/>
        <xdr:cNvSpPr>
          <a:spLocks/>
        </xdr:cNvSpPr>
      </xdr:nvSpPr>
      <xdr:spPr>
        <a:xfrm>
          <a:off x="7372350" y="695325"/>
          <a:ext cx="1333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X</a:t>
          </a:r>
        </a:p>
      </xdr:txBody>
    </xdr:sp>
    <xdr:clientData/>
  </xdr:twoCellAnchor>
  <xdr:twoCellAnchor>
    <xdr:from>
      <xdr:col>14</xdr:col>
      <xdr:colOff>47625</xdr:colOff>
      <xdr:row>5</xdr:row>
      <xdr:rowOff>9525</xdr:rowOff>
    </xdr:from>
    <xdr:to>
      <xdr:col>14</xdr:col>
      <xdr:colOff>180975</xdr:colOff>
      <xdr:row>5</xdr:row>
      <xdr:rowOff>152400</xdr:rowOff>
    </xdr:to>
    <xdr:sp>
      <xdr:nvSpPr>
        <xdr:cNvPr id="77" name="Rectangle 527"/>
        <xdr:cNvSpPr>
          <a:spLocks/>
        </xdr:cNvSpPr>
      </xdr:nvSpPr>
      <xdr:spPr>
        <a:xfrm>
          <a:off x="7362825" y="876300"/>
          <a:ext cx="1333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Comic Sans MS"/>
              <a:ea typeface="Comic Sans MS"/>
              <a:cs typeface="Comic Sans MS"/>
            </a:rPr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17</xdr:row>
      <xdr:rowOff>9525</xdr:rowOff>
    </xdr:from>
    <xdr:to>
      <xdr:col>2</xdr:col>
      <xdr:colOff>800100</xdr:colOff>
      <xdr:row>17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1733550" y="2838450"/>
          <a:ext cx="24765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</xdr:col>
      <xdr:colOff>57150</xdr:colOff>
      <xdr:row>64</xdr:row>
      <xdr:rowOff>19050</xdr:rowOff>
    </xdr:from>
    <xdr:to>
      <xdr:col>24</xdr:col>
      <xdr:colOff>0</xdr:colOff>
      <xdr:row>67</xdr:row>
      <xdr:rowOff>95250</xdr:rowOff>
    </xdr:to>
    <xdr:grpSp>
      <xdr:nvGrpSpPr>
        <xdr:cNvPr id="2" name="Group 74"/>
        <xdr:cNvGrpSpPr>
          <a:grpSpLocks/>
        </xdr:cNvGrpSpPr>
      </xdr:nvGrpSpPr>
      <xdr:grpSpPr>
        <a:xfrm>
          <a:off x="2514600" y="9734550"/>
          <a:ext cx="7219950" cy="561975"/>
          <a:chOff x="258" y="1022"/>
          <a:chExt cx="758" cy="65"/>
        </a:xfrm>
        <a:solidFill>
          <a:srgbClr val="FFFFFF"/>
        </a:solidFill>
      </xdr:grpSpPr>
      <xdr:grpSp>
        <xdr:nvGrpSpPr>
          <xdr:cNvPr id="3" name="Group 50"/>
          <xdr:cNvGrpSpPr>
            <a:grpSpLocks/>
          </xdr:cNvGrpSpPr>
        </xdr:nvGrpSpPr>
        <xdr:grpSpPr>
          <a:xfrm>
            <a:off x="343" y="1023"/>
            <a:ext cx="147" cy="64"/>
            <a:chOff x="257" y="686"/>
            <a:chExt cx="161" cy="64"/>
          </a:xfrm>
          <a:solidFill>
            <a:srgbClr val="FFFFFF"/>
          </a:solidFill>
        </xdr:grpSpPr>
        <xdr:sp>
          <xdr:nvSpPr>
            <xdr:cNvPr id="4" name="Arc 51"/>
            <xdr:cNvSpPr>
              <a:spLocks/>
            </xdr:cNvSpPr>
          </xdr:nvSpPr>
          <xdr:spPr>
            <a:xfrm flipH="1">
              <a:off x="257" y="686"/>
              <a:ext cx="81" cy="6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5" name="Arc 52"/>
            <xdr:cNvSpPr>
              <a:spLocks/>
            </xdr:cNvSpPr>
          </xdr:nvSpPr>
          <xdr:spPr>
            <a:xfrm>
              <a:off x="338" y="686"/>
              <a:ext cx="80" cy="6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6" name="Arc 53"/>
          <xdr:cNvSpPr>
            <a:spLocks/>
          </xdr:cNvSpPr>
        </xdr:nvSpPr>
        <xdr:spPr>
          <a:xfrm>
            <a:off x="258" y="1039"/>
            <a:ext cx="85" cy="4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7" name="Group 64"/>
          <xdr:cNvGrpSpPr>
            <a:grpSpLocks/>
          </xdr:cNvGrpSpPr>
        </xdr:nvGrpSpPr>
        <xdr:grpSpPr>
          <a:xfrm>
            <a:off x="491" y="1023"/>
            <a:ext cx="145" cy="64"/>
            <a:chOff x="257" y="686"/>
            <a:chExt cx="161" cy="64"/>
          </a:xfrm>
          <a:solidFill>
            <a:srgbClr val="FFFFFF"/>
          </a:solidFill>
        </xdr:grpSpPr>
        <xdr:sp>
          <xdr:nvSpPr>
            <xdr:cNvPr id="8" name="Arc 65"/>
            <xdr:cNvSpPr>
              <a:spLocks/>
            </xdr:cNvSpPr>
          </xdr:nvSpPr>
          <xdr:spPr>
            <a:xfrm flipH="1">
              <a:off x="257" y="686"/>
              <a:ext cx="81" cy="6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9" name="Arc 66"/>
            <xdr:cNvSpPr>
              <a:spLocks/>
            </xdr:cNvSpPr>
          </xdr:nvSpPr>
          <xdr:spPr>
            <a:xfrm>
              <a:off x="338" y="686"/>
              <a:ext cx="80" cy="6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0" name="Group 67"/>
          <xdr:cNvGrpSpPr>
            <a:grpSpLocks/>
          </xdr:cNvGrpSpPr>
        </xdr:nvGrpSpPr>
        <xdr:grpSpPr>
          <a:xfrm>
            <a:off x="638" y="1023"/>
            <a:ext cx="145" cy="64"/>
            <a:chOff x="257" y="686"/>
            <a:chExt cx="161" cy="64"/>
          </a:xfrm>
          <a:solidFill>
            <a:srgbClr val="FFFFFF"/>
          </a:solidFill>
        </xdr:grpSpPr>
        <xdr:sp>
          <xdr:nvSpPr>
            <xdr:cNvPr id="11" name="Arc 68"/>
            <xdr:cNvSpPr>
              <a:spLocks/>
            </xdr:cNvSpPr>
          </xdr:nvSpPr>
          <xdr:spPr>
            <a:xfrm flipH="1">
              <a:off x="257" y="686"/>
              <a:ext cx="81" cy="6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2" name="Arc 69"/>
            <xdr:cNvSpPr>
              <a:spLocks/>
            </xdr:cNvSpPr>
          </xdr:nvSpPr>
          <xdr:spPr>
            <a:xfrm>
              <a:off x="338" y="686"/>
              <a:ext cx="80" cy="6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3" name="Group 70"/>
          <xdr:cNvGrpSpPr>
            <a:grpSpLocks/>
          </xdr:cNvGrpSpPr>
        </xdr:nvGrpSpPr>
        <xdr:grpSpPr>
          <a:xfrm>
            <a:off x="785" y="1022"/>
            <a:ext cx="145" cy="64"/>
            <a:chOff x="257" y="686"/>
            <a:chExt cx="161" cy="64"/>
          </a:xfrm>
          <a:solidFill>
            <a:srgbClr val="FFFFFF"/>
          </a:solidFill>
        </xdr:grpSpPr>
        <xdr:sp>
          <xdr:nvSpPr>
            <xdr:cNvPr id="14" name="Arc 71"/>
            <xdr:cNvSpPr>
              <a:spLocks/>
            </xdr:cNvSpPr>
          </xdr:nvSpPr>
          <xdr:spPr>
            <a:xfrm flipH="1">
              <a:off x="257" y="686"/>
              <a:ext cx="81" cy="6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5" name="Arc 72"/>
            <xdr:cNvSpPr>
              <a:spLocks/>
            </xdr:cNvSpPr>
          </xdr:nvSpPr>
          <xdr:spPr>
            <a:xfrm>
              <a:off x="338" y="686"/>
              <a:ext cx="80" cy="6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6" name="Arc 73"/>
          <xdr:cNvSpPr>
            <a:spLocks/>
          </xdr:cNvSpPr>
        </xdr:nvSpPr>
        <xdr:spPr>
          <a:xfrm flipH="1">
            <a:off x="933" y="1039"/>
            <a:ext cx="83" cy="4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74</xdr:row>
      <xdr:rowOff>161925</xdr:rowOff>
    </xdr:from>
    <xdr:to>
      <xdr:col>24</xdr:col>
      <xdr:colOff>9525</xdr:colOff>
      <xdr:row>79</xdr:row>
      <xdr:rowOff>9525</xdr:rowOff>
    </xdr:to>
    <xdr:grpSp>
      <xdr:nvGrpSpPr>
        <xdr:cNvPr id="17" name="Group 290"/>
        <xdr:cNvGrpSpPr>
          <a:grpSpLocks/>
        </xdr:cNvGrpSpPr>
      </xdr:nvGrpSpPr>
      <xdr:grpSpPr>
        <a:xfrm>
          <a:off x="2514600" y="11496675"/>
          <a:ext cx="7229475" cy="657225"/>
          <a:chOff x="258" y="1225"/>
          <a:chExt cx="759" cy="78"/>
        </a:xfrm>
        <a:solidFill>
          <a:srgbClr val="FFFFFF"/>
        </a:solidFill>
      </xdr:grpSpPr>
      <xdr:sp>
        <xdr:nvSpPr>
          <xdr:cNvPr id="18" name="Line 283"/>
          <xdr:cNvSpPr>
            <a:spLocks/>
          </xdr:cNvSpPr>
        </xdr:nvSpPr>
        <xdr:spPr>
          <a:xfrm>
            <a:off x="258" y="1264"/>
            <a:ext cx="85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9" name="Line 284"/>
          <xdr:cNvSpPr>
            <a:spLocks/>
          </xdr:cNvSpPr>
        </xdr:nvSpPr>
        <xdr:spPr>
          <a:xfrm>
            <a:off x="344" y="1226"/>
            <a:ext cx="148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0" name="Line 285"/>
          <xdr:cNvSpPr>
            <a:spLocks/>
          </xdr:cNvSpPr>
        </xdr:nvSpPr>
        <xdr:spPr>
          <a:xfrm>
            <a:off x="491" y="1225"/>
            <a:ext cx="147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1" name="Line 286"/>
          <xdr:cNvSpPr>
            <a:spLocks/>
          </xdr:cNvSpPr>
        </xdr:nvSpPr>
        <xdr:spPr>
          <a:xfrm>
            <a:off x="638" y="1225"/>
            <a:ext cx="147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2" name="Line 287"/>
          <xdr:cNvSpPr>
            <a:spLocks/>
          </xdr:cNvSpPr>
        </xdr:nvSpPr>
        <xdr:spPr>
          <a:xfrm>
            <a:off x="785" y="1225"/>
            <a:ext cx="147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3" name="Line 288"/>
          <xdr:cNvSpPr>
            <a:spLocks/>
          </xdr:cNvSpPr>
        </xdr:nvSpPr>
        <xdr:spPr>
          <a:xfrm>
            <a:off x="932" y="1225"/>
            <a:ext cx="85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17</xdr:row>
      <xdr:rowOff>9525</xdr:rowOff>
    </xdr:from>
    <xdr:to>
      <xdr:col>2</xdr:col>
      <xdr:colOff>800100</xdr:colOff>
      <xdr:row>17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24025" y="2838450"/>
          <a:ext cx="247650" cy="142875"/>
        </a:xfrm>
        <a:prstGeom prst="rightArrow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4</xdr:col>
      <xdr:colOff>57150</xdr:colOff>
      <xdr:row>64</xdr:row>
      <xdr:rowOff>19050</xdr:rowOff>
    </xdr:from>
    <xdr:to>
      <xdr:col>24</xdr:col>
      <xdr:colOff>0</xdr:colOff>
      <xdr:row>67</xdr:row>
      <xdr:rowOff>95250</xdr:rowOff>
    </xdr:to>
    <xdr:grpSp>
      <xdr:nvGrpSpPr>
        <xdr:cNvPr id="2" name="Group 2"/>
        <xdr:cNvGrpSpPr>
          <a:grpSpLocks/>
        </xdr:cNvGrpSpPr>
      </xdr:nvGrpSpPr>
      <xdr:grpSpPr>
        <a:xfrm>
          <a:off x="2505075" y="9734550"/>
          <a:ext cx="7219950" cy="561975"/>
          <a:chOff x="258" y="1022"/>
          <a:chExt cx="758" cy="65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343" y="1023"/>
            <a:ext cx="147" cy="64"/>
            <a:chOff x="257" y="686"/>
            <a:chExt cx="161" cy="64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257" y="686"/>
              <a:ext cx="81" cy="6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>
              <a:off x="338" y="686"/>
              <a:ext cx="80" cy="6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6" name="Arc 6"/>
          <xdr:cNvSpPr>
            <a:spLocks/>
          </xdr:cNvSpPr>
        </xdr:nvSpPr>
        <xdr:spPr>
          <a:xfrm>
            <a:off x="258" y="1039"/>
            <a:ext cx="85" cy="4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491" y="1023"/>
            <a:ext cx="145" cy="64"/>
            <a:chOff x="257" y="686"/>
            <a:chExt cx="161" cy="64"/>
          </a:xfrm>
          <a:solidFill>
            <a:srgbClr val="FFFFFF"/>
          </a:solidFill>
        </xdr:grpSpPr>
        <xdr:sp>
          <xdr:nvSpPr>
            <xdr:cNvPr id="8" name="Arc 8"/>
            <xdr:cNvSpPr>
              <a:spLocks/>
            </xdr:cNvSpPr>
          </xdr:nvSpPr>
          <xdr:spPr>
            <a:xfrm flipH="1">
              <a:off x="257" y="686"/>
              <a:ext cx="81" cy="6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9" name="Arc 9"/>
            <xdr:cNvSpPr>
              <a:spLocks/>
            </xdr:cNvSpPr>
          </xdr:nvSpPr>
          <xdr:spPr>
            <a:xfrm>
              <a:off x="338" y="686"/>
              <a:ext cx="80" cy="6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638" y="1023"/>
            <a:ext cx="145" cy="64"/>
            <a:chOff x="257" y="686"/>
            <a:chExt cx="161" cy="64"/>
          </a:xfrm>
          <a:solidFill>
            <a:srgbClr val="FFFFFF"/>
          </a:solidFill>
        </xdr:grpSpPr>
        <xdr:sp>
          <xdr:nvSpPr>
            <xdr:cNvPr id="11" name="Arc 11"/>
            <xdr:cNvSpPr>
              <a:spLocks/>
            </xdr:cNvSpPr>
          </xdr:nvSpPr>
          <xdr:spPr>
            <a:xfrm flipH="1">
              <a:off x="257" y="686"/>
              <a:ext cx="81" cy="6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2" name="Arc 12"/>
            <xdr:cNvSpPr>
              <a:spLocks/>
            </xdr:cNvSpPr>
          </xdr:nvSpPr>
          <xdr:spPr>
            <a:xfrm>
              <a:off x="338" y="686"/>
              <a:ext cx="80" cy="6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3" name="Group 13"/>
          <xdr:cNvGrpSpPr>
            <a:grpSpLocks/>
          </xdr:cNvGrpSpPr>
        </xdr:nvGrpSpPr>
        <xdr:grpSpPr>
          <a:xfrm>
            <a:off x="785" y="1022"/>
            <a:ext cx="145" cy="64"/>
            <a:chOff x="257" y="686"/>
            <a:chExt cx="161" cy="64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257" y="686"/>
              <a:ext cx="81" cy="64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>
              <a:off x="338" y="686"/>
              <a:ext cx="80" cy="61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6" name="Arc 16"/>
          <xdr:cNvSpPr>
            <a:spLocks/>
          </xdr:cNvSpPr>
        </xdr:nvSpPr>
        <xdr:spPr>
          <a:xfrm flipH="1">
            <a:off x="933" y="1039"/>
            <a:ext cx="83" cy="48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74</xdr:row>
      <xdr:rowOff>161925</xdr:rowOff>
    </xdr:from>
    <xdr:to>
      <xdr:col>24</xdr:col>
      <xdr:colOff>9525</xdr:colOff>
      <xdr:row>79</xdr:row>
      <xdr:rowOff>9525</xdr:rowOff>
    </xdr:to>
    <xdr:grpSp>
      <xdr:nvGrpSpPr>
        <xdr:cNvPr id="17" name="Group 17"/>
        <xdr:cNvGrpSpPr>
          <a:grpSpLocks/>
        </xdr:cNvGrpSpPr>
      </xdr:nvGrpSpPr>
      <xdr:grpSpPr>
        <a:xfrm>
          <a:off x="2505075" y="11496675"/>
          <a:ext cx="7229475" cy="657225"/>
          <a:chOff x="258" y="1225"/>
          <a:chExt cx="759" cy="78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258" y="1264"/>
            <a:ext cx="85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344" y="1226"/>
            <a:ext cx="148" cy="7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491" y="1225"/>
            <a:ext cx="147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638" y="1225"/>
            <a:ext cx="147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785" y="1225"/>
            <a:ext cx="147" cy="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932" y="1225"/>
            <a:ext cx="85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18</xdr:col>
      <xdr:colOff>76200</xdr:colOff>
      <xdr:row>34</xdr:row>
      <xdr:rowOff>85725</xdr:rowOff>
    </xdr:from>
    <xdr:to>
      <xdr:col>42</xdr:col>
      <xdr:colOff>171450</xdr:colOff>
      <xdr:row>44</xdr:row>
      <xdr:rowOff>38100</xdr:rowOff>
    </xdr:to>
    <xdr:grpSp>
      <xdr:nvGrpSpPr>
        <xdr:cNvPr id="1" name="Group 332"/>
        <xdr:cNvGrpSpPr>
          <a:grpSpLocks/>
        </xdr:cNvGrpSpPr>
      </xdr:nvGrpSpPr>
      <xdr:grpSpPr>
        <a:xfrm>
          <a:off x="11001375" y="6229350"/>
          <a:ext cx="6038850" cy="1695450"/>
          <a:chOff x="96" y="3677"/>
          <a:chExt cx="634" cy="178"/>
        </a:xfrm>
        <a:solidFill>
          <a:srgbClr val="FFFFFF"/>
        </a:solidFill>
      </xdr:grpSpPr>
      <xdr:grpSp>
        <xdr:nvGrpSpPr>
          <xdr:cNvPr id="2" name="Group 71"/>
          <xdr:cNvGrpSpPr>
            <a:grpSpLocks/>
          </xdr:cNvGrpSpPr>
        </xdr:nvGrpSpPr>
        <xdr:grpSpPr>
          <a:xfrm>
            <a:off x="404" y="3759"/>
            <a:ext cx="22" cy="54"/>
            <a:chOff x="808" y="93"/>
            <a:chExt cx="37" cy="76"/>
          </a:xfrm>
          <a:solidFill>
            <a:srgbClr val="FFFFFF"/>
          </a:solidFill>
        </xdr:grpSpPr>
        <xdr:sp>
          <xdr:nvSpPr>
            <xdr:cNvPr id="3" name="Oval 72"/>
            <xdr:cNvSpPr>
              <a:spLocks/>
            </xdr:cNvSpPr>
          </xdr:nvSpPr>
          <xdr:spPr>
            <a:xfrm>
              <a:off x="809" y="161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4" name="Oval 73"/>
            <xdr:cNvSpPr>
              <a:spLocks/>
            </xdr:cNvSpPr>
          </xdr:nvSpPr>
          <xdr:spPr>
            <a:xfrm>
              <a:off x="822" y="161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5" name="Oval 74"/>
            <xdr:cNvSpPr>
              <a:spLocks/>
            </xdr:cNvSpPr>
          </xdr:nvSpPr>
          <xdr:spPr>
            <a:xfrm>
              <a:off x="836" y="161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6" name="Oval 75"/>
            <xdr:cNvSpPr>
              <a:spLocks/>
            </xdr:cNvSpPr>
          </xdr:nvSpPr>
          <xdr:spPr>
            <a:xfrm>
              <a:off x="809" y="93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7" name="Oval 76"/>
            <xdr:cNvSpPr>
              <a:spLocks/>
            </xdr:cNvSpPr>
          </xdr:nvSpPr>
          <xdr:spPr>
            <a:xfrm>
              <a:off x="836" y="93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8" name="Rectangle 77"/>
            <xdr:cNvSpPr>
              <a:spLocks/>
            </xdr:cNvSpPr>
          </xdr:nvSpPr>
          <xdr:spPr>
            <a:xfrm>
              <a:off x="808" y="93"/>
              <a:ext cx="37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9" name="Oval 78"/>
          <xdr:cNvSpPr>
            <a:spLocks/>
          </xdr:cNvSpPr>
        </xdr:nvSpPr>
        <xdr:spPr>
          <a:xfrm>
            <a:off x="412" y="3759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0" name="Line 81"/>
          <xdr:cNvSpPr>
            <a:spLocks/>
          </xdr:cNvSpPr>
        </xdr:nvSpPr>
        <xdr:spPr>
          <a:xfrm>
            <a:off x="359" y="3776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1" name="Line 86"/>
          <xdr:cNvSpPr>
            <a:spLocks/>
          </xdr:cNvSpPr>
        </xdr:nvSpPr>
        <xdr:spPr>
          <a:xfrm>
            <a:off x="400" y="3777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2" name="Line 87"/>
          <xdr:cNvSpPr>
            <a:spLocks/>
          </xdr:cNvSpPr>
        </xdr:nvSpPr>
        <xdr:spPr>
          <a:xfrm>
            <a:off x="430" y="3776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3" name="Line 88"/>
          <xdr:cNvSpPr>
            <a:spLocks/>
          </xdr:cNvSpPr>
        </xdr:nvSpPr>
        <xdr:spPr>
          <a:xfrm>
            <a:off x="100" y="3755"/>
            <a:ext cx="6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4" name="Line 89"/>
          <xdr:cNvSpPr>
            <a:spLocks/>
          </xdr:cNvSpPr>
        </xdr:nvSpPr>
        <xdr:spPr>
          <a:xfrm>
            <a:off x="400" y="3816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5" name="Line 90"/>
          <xdr:cNvSpPr>
            <a:spLocks/>
          </xdr:cNvSpPr>
        </xdr:nvSpPr>
        <xdr:spPr>
          <a:xfrm>
            <a:off x="430" y="3776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6" name="Line 91"/>
          <xdr:cNvSpPr>
            <a:spLocks/>
          </xdr:cNvSpPr>
        </xdr:nvSpPr>
        <xdr:spPr>
          <a:xfrm>
            <a:off x="326" y="3776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" name="Line 92"/>
          <xdr:cNvSpPr>
            <a:spLocks/>
          </xdr:cNvSpPr>
        </xdr:nvSpPr>
        <xdr:spPr>
          <a:xfrm>
            <a:off x="394" y="3776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" name="Line 93"/>
          <xdr:cNvSpPr>
            <a:spLocks/>
          </xdr:cNvSpPr>
        </xdr:nvSpPr>
        <xdr:spPr>
          <a:xfrm>
            <a:off x="436" y="3776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9" name="Line 94"/>
          <xdr:cNvSpPr>
            <a:spLocks/>
          </xdr:cNvSpPr>
        </xdr:nvSpPr>
        <xdr:spPr>
          <a:xfrm>
            <a:off x="394" y="3691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0" name="Line 95"/>
          <xdr:cNvSpPr>
            <a:spLocks/>
          </xdr:cNvSpPr>
        </xdr:nvSpPr>
        <xdr:spPr>
          <a:xfrm>
            <a:off x="436" y="3692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1" name="Line 96"/>
          <xdr:cNvSpPr>
            <a:spLocks/>
          </xdr:cNvSpPr>
        </xdr:nvSpPr>
        <xdr:spPr>
          <a:xfrm>
            <a:off x="436" y="3755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2" name="Line 97"/>
          <xdr:cNvSpPr>
            <a:spLocks/>
          </xdr:cNvSpPr>
        </xdr:nvSpPr>
        <xdr:spPr>
          <a:xfrm>
            <a:off x="394" y="3754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23" name="Group 98"/>
          <xdr:cNvGrpSpPr>
            <a:grpSpLocks/>
          </xdr:cNvGrpSpPr>
        </xdr:nvGrpSpPr>
        <xdr:grpSpPr>
          <a:xfrm>
            <a:off x="390" y="3677"/>
            <a:ext cx="53" cy="29"/>
            <a:chOff x="361" y="3471"/>
            <a:chExt cx="53" cy="29"/>
          </a:xfrm>
          <a:solidFill>
            <a:srgbClr val="FFFFFF"/>
          </a:solidFill>
        </xdr:grpSpPr>
        <xdr:sp>
          <xdr:nvSpPr>
            <xdr:cNvPr id="24" name="Line 99"/>
            <xdr:cNvSpPr>
              <a:spLocks/>
            </xdr:cNvSpPr>
          </xdr:nvSpPr>
          <xdr:spPr>
            <a:xfrm>
              <a:off x="361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5" name="Line 100"/>
            <xdr:cNvSpPr>
              <a:spLocks/>
            </xdr:cNvSpPr>
          </xdr:nvSpPr>
          <xdr:spPr>
            <a:xfrm>
              <a:off x="392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6" name="Line 101"/>
            <xdr:cNvSpPr>
              <a:spLocks/>
            </xdr:cNvSpPr>
          </xdr:nvSpPr>
          <xdr:spPr>
            <a:xfrm flipH="1">
              <a:off x="377" y="3471"/>
              <a:ext cx="1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7" name="Line 102"/>
            <xdr:cNvSpPr>
              <a:spLocks/>
            </xdr:cNvSpPr>
          </xdr:nvSpPr>
          <xdr:spPr>
            <a:xfrm flipH="1">
              <a:off x="377" y="3485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8" name="Line 103"/>
            <xdr:cNvSpPr>
              <a:spLocks/>
            </xdr:cNvSpPr>
          </xdr:nvSpPr>
          <xdr:spPr>
            <a:xfrm flipH="1">
              <a:off x="383" y="3471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29" name="Group 104"/>
          <xdr:cNvGrpSpPr>
            <a:grpSpLocks/>
          </xdr:cNvGrpSpPr>
        </xdr:nvGrpSpPr>
        <xdr:grpSpPr>
          <a:xfrm>
            <a:off x="389" y="3826"/>
            <a:ext cx="53" cy="29"/>
            <a:chOff x="361" y="3471"/>
            <a:chExt cx="53" cy="29"/>
          </a:xfrm>
          <a:solidFill>
            <a:srgbClr val="FFFFFF"/>
          </a:solidFill>
        </xdr:grpSpPr>
        <xdr:sp>
          <xdr:nvSpPr>
            <xdr:cNvPr id="30" name="Line 105"/>
            <xdr:cNvSpPr>
              <a:spLocks/>
            </xdr:cNvSpPr>
          </xdr:nvSpPr>
          <xdr:spPr>
            <a:xfrm>
              <a:off x="361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1" name="Line 106"/>
            <xdr:cNvSpPr>
              <a:spLocks/>
            </xdr:cNvSpPr>
          </xdr:nvSpPr>
          <xdr:spPr>
            <a:xfrm>
              <a:off x="392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2" name="Line 107"/>
            <xdr:cNvSpPr>
              <a:spLocks/>
            </xdr:cNvSpPr>
          </xdr:nvSpPr>
          <xdr:spPr>
            <a:xfrm flipH="1">
              <a:off x="377" y="3471"/>
              <a:ext cx="1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3" name="Line 108"/>
            <xdr:cNvSpPr>
              <a:spLocks/>
            </xdr:cNvSpPr>
          </xdr:nvSpPr>
          <xdr:spPr>
            <a:xfrm flipH="1">
              <a:off x="377" y="3485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4" name="Line 109"/>
            <xdr:cNvSpPr>
              <a:spLocks/>
            </xdr:cNvSpPr>
          </xdr:nvSpPr>
          <xdr:spPr>
            <a:xfrm flipH="1">
              <a:off x="383" y="3471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35" name="Group 110"/>
          <xdr:cNvGrpSpPr>
            <a:grpSpLocks/>
          </xdr:cNvGrpSpPr>
        </xdr:nvGrpSpPr>
        <xdr:grpSpPr>
          <a:xfrm>
            <a:off x="529" y="3761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36" name="Group 111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37" name="Rectangle 112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38" name="Rectangle 113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39" name="Rectangle 114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40" name="Rectangle 115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41" name="Rectangle 116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42" name="Rectangle 117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43" name="Line 118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44" name="Line 119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45" name="Line 120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46" name="Line 121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47" name="Line 122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48" name="Group 123"/>
          <xdr:cNvGrpSpPr>
            <a:grpSpLocks/>
          </xdr:cNvGrpSpPr>
        </xdr:nvGrpSpPr>
        <xdr:grpSpPr>
          <a:xfrm>
            <a:off x="430" y="3761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49" name="Group 124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50" name="Rectangle 125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51" name="Rectangle 126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52" name="Rectangle 127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53" name="Rectangle 128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54" name="Rectangle 129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55" name="Rectangle 130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56" name="Line 131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57" name="Line 132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58" name="Line 133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59" name="Line 134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60" name="Line 135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61" name="Group 150"/>
          <xdr:cNvGrpSpPr>
            <a:grpSpLocks/>
          </xdr:cNvGrpSpPr>
        </xdr:nvGrpSpPr>
        <xdr:grpSpPr>
          <a:xfrm>
            <a:off x="510" y="3757"/>
            <a:ext cx="13" cy="16"/>
            <a:chOff x="994" y="92"/>
            <a:chExt cx="35" cy="41"/>
          </a:xfrm>
          <a:solidFill>
            <a:srgbClr val="FFFFFF"/>
          </a:solidFill>
        </xdr:grpSpPr>
        <xdr:sp>
          <xdr:nvSpPr>
            <xdr:cNvPr id="62" name="Oval 151"/>
            <xdr:cNvSpPr>
              <a:spLocks/>
            </xdr:cNvSpPr>
          </xdr:nvSpPr>
          <xdr:spPr>
            <a:xfrm>
              <a:off x="994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63" name="Oval 152"/>
            <xdr:cNvSpPr>
              <a:spLocks/>
            </xdr:cNvSpPr>
          </xdr:nvSpPr>
          <xdr:spPr>
            <a:xfrm>
              <a:off x="1021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64" name="Oval 153"/>
            <xdr:cNvSpPr>
              <a:spLocks/>
            </xdr:cNvSpPr>
          </xdr:nvSpPr>
          <xdr:spPr>
            <a:xfrm>
              <a:off x="1007" y="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65" name="Line 154"/>
            <xdr:cNvSpPr>
              <a:spLocks/>
            </xdr:cNvSpPr>
          </xdr:nvSpPr>
          <xdr:spPr>
            <a:xfrm flipH="1">
              <a:off x="994" y="94"/>
              <a:ext cx="14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66" name="Line 155"/>
            <xdr:cNvSpPr>
              <a:spLocks/>
            </xdr:cNvSpPr>
          </xdr:nvSpPr>
          <xdr:spPr>
            <a:xfrm>
              <a:off x="1015" y="95"/>
              <a:ext cx="13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67" name="Line 156"/>
            <xdr:cNvSpPr>
              <a:spLocks/>
            </xdr:cNvSpPr>
          </xdr:nvSpPr>
          <xdr:spPr>
            <a:xfrm>
              <a:off x="998" y="133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68" name="Line 157"/>
          <xdr:cNvSpPr>
            <a:spLocks/>
          </xdr:cNvSpPr>
        </xdr:nvSpPr>
        <xdr:spPr>
          <a:xfrm>
            <a:off x="505" y="3776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69" name="Group 158"/>
          <xdr:cNvGrpSpPr>
            <a:grpSpLocks/>
          </xdr:cNvGrpSpPr>
        </xdr:nvGrpSpPr>
        <xdr:grpSpPr>
          <a:xfrm>
            <a:off x="326" y="3761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70" name="Group 159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71" name="Rectangle 160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72" name="Rectangle 161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73" name="Rectangle 162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74" name="Rectangle 163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75" name="Rectangle 164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76" name="Rectangle 165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77" name="Line 166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78" name="Line 167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79" name="Line 168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80" name="Line 169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81" name="Line 170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82" name="Line 171"/>
          <xdr:cNvSpPr>
            <a:spLocks/>
          </xdr:cNvSpPr>
        </xdr:nvSpPr>
        <xdr:spPr>
          <a:xfrm>
            <a:off x="300" y="3776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83" name="Group 172"/>
          <xdr:cNvGrpSpPr>
            <a:grpSpLocks/>
          </xdr:cNvGrpSpPr>
        </xdr:nvGrpSpPr>
        <xdr:grpSpPr>
          <a:xfrm>
            <a:off x="306" y="3757"/>
            <a:ext cx="13" cy="16"/>
            <a:chOff x="994" y="92"/>
            <a:chExt cx="35" cy="41"/>
          </a:xfrm>
          <a:solidFill>
            <a:srgbClr val="FFFFFF"/>
          </a:solidFill>
        </xdr:grpSpPr>
        <xdr:sp>
          <xdr:nvSpPr>
            <xdr:cNvPr id="84" name="Oval 173"/>
            <xdr:cNvSpPr>
              <a:spLocks/>
            </xdr:cNvSpPr>
          </xdr:nvSpPr>
          <xdr:spPr>
            <a:xfrm>
              <a:off x="994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85" name="Oval 174"/>
            <xdr:cNvSpPr>
              <a:spLocks/>
            </xdr:cNvSpPr>
          </xdr:nvSpPr>
          <xdr:spPr>
            <a:xfrm>
              <a:off x="1021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86" name="Oval 175"/>
            <xdr:cNvSpPr>
              <a:spLocks/>
            </xdr:cNvSpPr>
          </xdr:nvSpPr>
          <xdr:spPr>
            <a:xfrm>
              <a:off x="1007" y="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87" name="Line 176"/>
            <xdr:cNvSpPr>
              <a:spLocks/>
            </xdr:cNvSpPr>
          </xdr:nvSpPr>
          <xdr:spPr>
            <a:xfrm flipH="1">
              <a:off x="994" y="94"/>
              <a:ext cx="14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88" name="Line 177"/>
            <xdr:cNvSpPr>
              <a:spLocks/>
            </xdr:cNvSpPr>
          </xdr:nvSpPr>
          <xdr:spPr>
            <a:xfrm>
              <a:off x="1015" y="95"/>
              <a:ext cx="13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89" name="Line 178"/>
            <xdr:cNvSpPr>
              <a:spLocks/>
            </xdr:cNvSpPr>
          </xdr:nvSpPr>
          <xdr:spPr>
            <a:xfrm>
              <a:off x="998" y="133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90" name="Group 179"/>
          <xdr:cNvGrpSpPr>
            <a:grpSpLocks/>
          </xdr:cNvGrpSpPr>
        </xdr:nvGrpSpPr>
        <xdr:grpSpPr>
          <a:xfrm>
            <a:off x="225" y="3761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91" name="Group 180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92" name="Rectangle 181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93" name="Rectangle 182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94" name="Rectangle 183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95" name="Rectangle 184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96" name="Rectangle 185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97" name="Rectangle 186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98" name="Line 187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99" name="Line 188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00" name="Line 189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01" name="Line 190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02" name="Line 191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03" name="Group 207"/>
          <xdr:cNvGrpSpPr>
            <a:grpSpLocks/>
          </xdr:cNvGrpSpPr>
        </xdr:nvGrpSpPr>
        <xdr:grpSpPr>
          <a:xfrm>
            <a:off x="206" y="3757"/>
            <a:ext cx="13" cy="16"/>
            <a:chOff x="994" y="92"/>
            <a:chExt cx="35" cy="41"/>
          </a:xfrm>
          <a:solidFill>
            <a:srgbClr val="FFFFFF"/>
          </a:solidFill>
        </xdr:grpSpPr>
        <xdr:sp>
          <xdr:nvSpPr>
            <xdr:cNvPr id="104" name="Oval 208"/>
            <xdr:cNvSpPr>
              <a:spLocks/>
            </xdr:cNvSpPr>
          </xdr:nvSpPr>
          <xdr:spPr>
            <a:xfrm>
              <a:off x="994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05" name="Oval 209"/>
            <xdr:cNvSpPr>
              <a:spLocks/>
            </xdr:cNvSpPr>
          </xdr:nvSpPr>
          <xdr:spPr>
            <a:xfrm>
              <a:off x="1021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06" name="Oval 210"/>
            <xdr:cNvSpPr>
              <a:spLocks/>
            </xdr:cNvSpPr>
          </xdr:nvSpPr>
          <xdr:spPr>
            <a:xfrm>
              <a:off x="1007" y="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07" name="Line 211"/>
            <xdr:cNvSpPr>
              <a:spLocks/>
            </xdr:cNvSpPr>
          </xdr:nvSpPr>
          <xdr:spPr>
            <a:xfrm flipH="1">
              <a:off x="994" y="94"/>
              <a:ext cx="14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08" name="Line 212"/>
            <xdr:cNvSpPr>
              <a:spLocks/>
            </xdr:cNvSpPr>
          </xdr:nvSpPr>
          <xdr:spPr>
            <a:xfrm>
              <a:off x="1015" y="95"/>
              <a:ext cx="13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09" name="Line 213"/>
            <xdr:cNvSpPr>
              <a:spLocks/>
            </xdr:cNvSpPr>
          </xdr:nvSpPr>
          <xdr:spPr>
            <a:xfrm>
              <a:off x="998" y="133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10" name="Line 240"/>
          <xdr:cNvSpPr>
            <a:spLocks/>
          </xdr:cNvSpPr>
        </xdr:nvSpPr>
        <xdr:spPr>
          <a:xfrm>
            <a:off x="603" y="3776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111" name="Group 241"/>
          <xdr:cNvGrpSpPr>
            <a:grpSpLocks/>
          </xdr:cNvGrpSpPr>
        </xdr:nvGrpSpPr>
        <xdr:grpSpPr>
          <a:xfrm>
            <a:off x="609" y="3757"/>
            <a:ext cx="13" cy="16"/>
            <a:chOff x="994" y="92"/>
            <a:chExt cx="35" cy="41"/>
          </a:xfrm>
          <a:solidFill>
            <a:srgbClr val="FFFFFF"/>
          </a:solidFill>
        </xdr:grpSpPr>
        <xdr:sp>
          <xdr:nvSpPr>
            <xdr:cNvPr id="112" name="Oval 242"/>
            <xdr:cNvSpPr>
              <a:spLocks/>
            </xdr:cNvSpPr>
          </xdr:nvSpPr>
          <xdr:spPr>
            <a:xfrm>
              <a:off x="994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13" name="Oval 243"/>
            <xdr:cNvSpPr>
              <a:spLocks/>
            </xdr:cNvSpPr>
          </xdr:nvSpPr>
          <xdr:spPr>
            <a:xfrm>
              <a:off x="1021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14" name="Oval 244"/>
            <xdr:cNvSpPr>
              <a:spLocks/>
            </xdr:cNvSpPr>
          </xdr:nvSpPr>
          <xdr:spPr>
            <a:xfrm>
              <a:off x="1007" y="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15" name="Line 245"/>
            <xdr:cNvSpPr>
              <a:spLocks/>
            </xdr:cNvSpPr>
          </xdr:nvSpPr>
          <xdr:spPr>
            <a:xfrm flipH="1">
              <a:off x="994" y="94"/>
              <a:ext cx="14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16" name="Line 246"/>
            <xdr:cNvSpPr>
              <a:spLocks/>
            </xdr:cNvSpPr>
          </xdr:nvSpPr>
          <xdr:spPr>
            <a:xfrm>
              <a:off x="1015" y="95"/>
              <a:ext cx="13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17" name="Line 247"/>
            <xdr:cNvSpPr>
              <a:spLocks/>
            </xdr:cNvSpPr>
          </xdr:nvSpPr>
          <xdr:spPr>
            <a:xfrm>
              <a:off x="998" y="133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18" name="Group 250"/>
          <xdr:cNvGrpSpPr>
            <a:grpSpLocks/>
          </xdr:cNvGrpSpPr>
        </xdr:nvGrpSpPr>
        <xdr:grpSpPr>
          <a:xfrm>
            <a:off x="628" y="3761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119" name="Group 251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120" name="Rectangle 252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21" name="Rectangle 253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22" name="Rectangle 254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23" name="Rectangle 255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24" name="Rectangle 256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25" name="Rectangle 257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126" name="Line 258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27" name="Line 259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28" name="Line 260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29" name="Line 261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30" name="Line 262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31" name="Line 283"/>
          <xdr:cNvSpPr>
            <a:spLocks/>
          </xdr:cNvSpPr>
        </xdr:nvSpPr>
        <xdr:spPr>
          <a:xfrm>
            <a:off x="702" y="3776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132" name="Group 284"/>
          <xdr:cNvGrpSpPr>
            <a:grpSpLocks/>
          </xdr:cNvGrpSpPr>
        </xdr:nvGrpSpPr>
        <xdr:grpSpPr>
          <a:xfrm rot="16101177">
            <a:off x="722" y="3747"/>
            <a:ext cx="8" cy="40"/>
            <a:chOff x="361" y="3471"/>
            <a:chExt cx="53" cy="29"/>
          </a:xfrm>
          <a:solidFill>
            <a:srgbClr val="FFFFFF"/>
          </a:solidFill>
        </xdr:grpSpPr>
        <xdr:sp>
          <xdr:nvSpPr>
            <xdr:cNvPr id="133" name="Line 285"/>
            <xdr:cNvSpPr>
              <a:spLocks/>
            </xdr:cNvSpPr>
          </xdr:nvSpPr>
          <xdr:spPr>
            <a:xfrm>
              <a:off x="361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34" name="Line 286"/>
            <xdr:cNvSpPr>
              <a:spLocks/>
            </xdr:cNvSpPr>
          </xdr:nvSpPr>
          <xdr:spPr>
            <a:xfrm>
              <a:off x="392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35" name="Line 287"/>
            <xdr:cNvSpPr>
              <a:spLocks/>
            </xdr:cNvSpPr>
          </xdr:nvSpPr>
          <xdr:spPr>
            <a:xfrm flipH="1">
              <a:off x="377" y="3471"/>
              <a:ext cx="1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36" name="Line 288"/>
            <xdr:cNvSpPr>
              <a:spLocks/>
            </xdr:cNvSpPr>
          </xdr:nvSpPr>
          <xdr:spPr>
            <a:xfrm flipH="1">
              <a:off x="377" y="3485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37" name="Line 289"/>
            <xdr:cNvSpPr>
              <a:spLocks/>
            </xdr:cNvSpPr>
          </xdr:nvSpPr>
          <xdr:spPr>
            <a:xfrm flipH="1">
              <a:off x="383" y="3471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38" name="Group 290"/>
          <xdr:cNvGrpSpPr>
            <a:grpSpLocks/>
          </xdr:cNvGrpSpPr>
        </xdr:nvGrpSpPr>
        <xdr:grpSpPr>
          <a:xfrm>
            <a:off x="126" y="3761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139" name="Group 291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140" name="Rectangle 292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41" name="Rectangle 293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42" name="Rectangle 294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43" name="Rectangle 295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44" name="Rectangle 296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145" name="Rectangle 297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146" name="Line 298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47" name="Line 299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48" name="Line 300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49" name="Line 301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50" name="Line 302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51" name="Line 303"/>
          <xdr:cNvSpPr>
            <a:spLocks/>
          </xdr:cNvSpPr>
        </xdr:nvSpPr>
        <xdr:spPr>
          <a:xfrm>
            <a:off x="200" y="3776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152" name="Group 304"/>
          <xdr:cNvGrpSpPr>
            <a:grpSpLocks/>
          </xdr:cNvGrpSpPr>
        </xdr:nvGrpSpPr>
        <xdr:grpSpPr>
          <a:xfrm rot="16101177">
            <a:off x="96" y="3747"/>
            <a:ext cx="8" cy="40"/>
            <a:chOff x="361" y="3471"/>
            <a:chExt cx="53" cy="29"/>
          </a:xfrm>
          <a:solidFill>
            <a:srgbClr val="FFFFFF"/>
          </a:solidFill>
        </xdr:grpSpPr>
        <xdr:sp>
          <xdr:nvSpPr>
            <xdr:cNvPr id="153" name="Line 305"/>
            <xdr:cNvSpPr>
              <a:spLocks/>
            </xdr:cNvSpPr>
          </xdr:nvSpPr>
          <xdr:spPr>
            <a:xfrm>
              <a:off x="361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54" name="Line 306"/>
            <xdr:cNvSpPr>
              <a:spLocks/>
            </xdr:cNvSpPr>
          </xdr:nvSpPr>
          <xdr:spPr>
            <a:xfrm>
              <a:off x="392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55" name="Line 307"/>
            <xdr:cNvSpPr>
              <a:spLocks/>
            </xdr:cNvSpPr>
          </xdr:nvSpPr>
          <xdr:spPr>
            <a:xfrm flipH="1">
              <a:off x="377" y="3471"/>
              <a:ext cx="1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56" name="Line 308"/>
            <xdr:cNvSpPr>
              <a:spLocks/>
            </xdr:cNvSpPr>
          </xdr:nvSpPr>
          <xdr:spPr>
            <a:xfrm flipH="1">
              <a:off x="377" y="3485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57" name="Line 309"/>
            <xdr:cNvSpPr>
              <a:spLocks/>
            </xdr:cNvSpPr>
          </xdr:nvSpPr>
          <xdr:spPr>
            <a:xfrm flipH="1">
              <a:off x="383" y="3471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58" name="Line 310"/>
          <xdr:cNvSpPr>
            <a:spLocks/>
          </xdr:cNvSpPr>
        </xdr:nvSpPr>
        <xdr:spPr>
          <a:xfrm>
            <a:off x="100" y="3776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</xdr:colOff>
      <xdr:row>6</xdr:row>
      <xdr:rowOff>95250</xdr:rowOff>
    </xdr:from>
    <xdr:to>
      <xdr:col>42</xdr:col>
      <xdr:colOff>161925</xdr:colOff>
      <xdr:row>16</xdr:row>
      <xdr:rowOff>28575</xdr:rowOff>
    </xdr:to>
    <xdr:grpSp>
      <xdr:nvGrpSpPr>
        <xdr:cNvPr id="159" name="Group 334"/>
        <xdr:cNvGrpSpPr>
          <a:grpSpLocks/>
        </xdr:cNvGrpSpPr>
      </xdr:nvGrpSpPr>
      <xdr:grpSpPr>
        <a:xfrm>
          <a:off x="10991850" y="1257300"/>
          <a:ext cx="6038850" cy="1638300"/>
          <a:chOff x="67" y="3471"/>
          <a:chExt cx="634" cy="178"/>
        </a:xfrm>
        <a:solidFill>
          <a:srgbClr val="FFFFFF"/>
        </a:solidFill>
      </xdr:grpSpPr>
      <xdr:grpSp>
        <xdr:nvGrpSpPr>
          <xdr:cNvPr id="160" name="Group 107"/>
          <xdr:cNvGrpSpPr>
            <a:grpSpLocks/>
          </xdr:cNvGrpSpPr>
        </xdr:nvGrpSpPr>
        <xdr:grpSpPr>
          <a:xfrm>
            <a:off x="375" y="3553"/>
            <a:ext cx="22" cy="54"/>
            <a:chOff x="808" y="93"/>
            <a:chExt cx="37" cy="76"/>
          </a:xfrm>
          <a:solidFill>
            <a:srgbClr val="FFFFFF"/>
          </a:solidFill>
        </xdr:grpSpPr>
        <xdr:sp>
          <xdr:nvSpPr>
            <xdr:cNvPr id="161" name="Oval 108"/>
            <xdr:cNvSpPr>
              <a:spLocks/>
            </xdr:cNvSpPr>
          </xdr:nvSpPr>
          <xdr:spPr>
            <a:xfrm>
              <a:off x="809" y="161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62" name="Oval 109"/>
            <xdr:cNvSpPr>
              <a:spLocks/>
            </xdr:cNvSpPr>
          </xdr:nvSpPr>
          <xdr:spPr>
            <a:xfrm>
              <a:off x="822" y="161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63" name="Oval 110"/>
            <xdr:cNvSpPr>
              <a:spLocks/>
            </xdr:cNvSpPr>
          </xdr:nvSpPr>
          <xdr:spPr>
            <a:xfrm>
              <a:off x="836" y="161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64" name="Oval 111"/>
            <xdr:cNvSpPr>
              <a:spLocks/>
            </xdr:cNvSpPr>
          </xdr:nvSpPr>
          <xdr:spPr>
            <a:xfrm>
              <a:off x="809" y="93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65" name="Oval 112"/>
            <xdr:cNvSpPr>
              <a:spLocks/>
            </xdr:cNvSpPr>
          </xdr:nvSpPr>
          <xdr:spPr>
            <a:xfrm>
              <a:off x="836" y="93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66" name="Rectangle 113"/>
            <xdr:cNvSpPr>
              <a:spLocks/>
            </xdr:cNvSpPr>
          </xdr:nvSpPr>
          <xdr:spPr>
            <a:xfrm>
              <a:off x="808" y="93"/>
              <a:ext cx="37" cy="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167" name="Oval 205"/>
          <xdr:cNvSpPr>
            <a:spLocks/>
          </xdr:cNvSpPr>
        </xdr:nvSpPr>
        <xdr:spPr>
          <a:xfrm>
            <a:off x="383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68" name="Oval 211"/>
          <xdr:cNvSpPr>
            <a:spLocks/>
          </xdr:cNvSpPr>
        </xdr:nvSpPr>
        <xdr:spPr>
          <a:xfrm>
            <a:off x="367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69" name="Oval 212"/>
          <xdr:cNvSpPr>
            <a:spLocks/>
          </xdr:cNvSpPr>
        </xdr:nvSpPr>
        <xdr:spPr>
          <a:xfrm>
            <a:off x="400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0" name="Line 227"/>
          <xdr:cNvSpPr>
            <a:spLocks/>
          </xdr:cNvSpPr>
        </xdr:nvSpPr>
        <xdr:spPr>
          <a:xfrm>
            <a:off x="330" y="3570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1" name="Oval 228"/>
          <xdr:cNvSpPr>
            <a:spLocks/>
          </xdr:cNvSpPr>
        </xdr:nvSpPr>
        <xdr:spPr>
          <a:xfrm>
            <a:off x="359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2" name="Oval 229"/>
          <xdr:cNvSpPr>
            <a:spLocks/>
          </xdr:cNvSpPr>
        </xdr:nvSpPr>
        <xdr:spPr>
          <a:xfrm>
            <a:off x="351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3" name="Oval 230"/>
          <xdr:cNvSpPr>
            <a:spLocks/>
          </xdr:cNvSpPr>
        </xdr:nvSpPr>
        <xdr:spPr>
          <a:xfrm>
            <a:off x="408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4" name="Oval 231"/>
          <xdr:cNvSpPr>
            <a:spLocks/>
          </xdr:cNvSpPr>
        </xdr:nvSpPr>
        <xdr:spPr>
          <a:xfrm>
            <a:off x="415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5" name="Line 121"/>
          <xdr:cNvSpPr>
            <a:spLocks/>
          </xdr:cNvSpPr>
        </xdr:nvSpPr>
        <xdr:spPr>
          <a:xfrm>
            <a:off x="371" y="3571"/>
            <a:ext cx="0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6" name="Line 122"/>
          <xdr:cNvSpPr>
            <a:spLocks/>
          </xdr:cNvSpPr>
        </xdr:nvSpPr>
        <xdr:spPr>
          <a:xfrm>
            <a:off x="401" y="3570"/>
            <a:ext cx="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7" name="Line 123"/>
          <xdr:cNvSpPr>
            <a:spLocks/>
          </xdr:cNvSpPr>
        </xdr:nvSpPr>
        <xdr:spPr>
          <a:xfrm>
            <a:off x="71" y="3549"/>
            <a:ext cx="6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8" name="Line 124"/>
          <xdr:cNvSpPr>
            <a:spLocks/>
          </xdr:cNvSpPr>
        </xdr:nvSpPr>
        <xdr:spPr>
          <a:xfrm>
            <a:off x="371" y="3610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79" name="Line 226"/>
          <xdr:cNvSpPr>
            <a:spLocks/>
          </xdr:cNvSpPr>
        </xdr:nvSpPr>
        <xdr:spPr>
          <a:xfrm>
            <a:off x="401" y="3570"/>
            <a:ext cx="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0" name="Line 233"/>
          <xdr:cNvSpPr>
            <a:spLocks/>
          </xdr:cNvSpPr>
        </xdr:nvSpPr>
        <xdr:spPr>
          <a:xfrm>
            <a:off x="297" y="3570"/>
            <a:ext cx="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1" name="Line 235"/>
          <xdr:cNvSpPr>
            <a:spLocks/>
          </xdr:cNvSpPr>
        </xdr:nvSpPr>
        <xdr:spPr>
          <a:xfrm>
            <a:off x="365" y="3570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2" name="Line 236"/>
          <xdr:cNvSpPr>
            <a:spLocks/>
          </xdr:cNvSpPr>
        </xdr:nvSpPr>
        <xdr:spPr>
          <a:xfrm>
            <a:off x="407" y="3570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3" name="Line 237"/>
          <xdr:cNvSpPr>
            <a:spLocks/>
          </xdr:cNvSpPr>
        </xdr:nvSpPr>
        <xdr:spPr>
          <a:xfrm>
            <a:off x="365" y="3485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4" name="Line 238"/>
          <xdr:cNvSpPr>
            <a:spLocks/>
          </xdr:cNvSpPr>
        </xdr:nvSpPr>
        <xdr:spPr>
          <a:xfrm>
            <a:off x="407" y="3486"/>
            <a:ext cx="0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5" name="Line 239"/>
          <xdr:cNvSpPr>
            <a:spLocks/>
          </xdr:cNvSpPr>
        </xdr:nvSpPr>
        <xdr:spPr>
          <a:xfrm>
            <a:off x="407" y="354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186" name="Line 240"/>
          <xdr:cNvSpPr>
            <a:spLocks/>
          </xdr:cNvSpPr>
        </xdr:nvSpPr>
        <xdr:spPr>
          <a:xfrm>
            <a:off x="365" y="3548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187" name="Group 246"/>
          <xdr:cNvGrpSpPr>
            <a:grpSpLocks/>
          </xdr:cNvGrpSpPr>
        </xdr:nvGrpSpPr>
        <xdr:grpSpPr>
          <a:xfrm>
            <a:off x="361" y="3471"/>
            <a:ext cx="53" cy="29"/>
            <a:chOff x="361" y="3471"/>
            <a:chExt cx="53" cy="29"/>
          </a:xfrm>
          <a:solidFill>
            <a:srgbClr val="FFFFFF"/>
          </a:solidFill>
        </xdr:grpSpPr>
        <xdr:sp>
          <xdr:nvSpPr>
            <xdr:cNvPr id="188" name="Line 241"/>
            <xdr:cNvSpPr>
              <a:spLocks/>
            </xdr:cNvSpPr>
          </xdr:nvSpPr>
          <xdr:spPr>
            <a:xfrm>
              <a:off x="361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89" name="Line 242"/>
            <xdr:cNvSpPr>
              <a:spLocks/>
            </xdr:cNvSpPr>
          </xdr:nvSpPr>
          <xdr:spPr>
            <a:xfrm>
              <a:off x="392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90" name="Line 243"/>
            <xdr:cNvSpPr>
              <a:spLocks/>
            </xdr:cNvSpPr>
          </xdr:nvSpPr>
          <xdr:spPr>
            <a:xfrm flipH="1">
              <a:off x="377" y="3471"/>
              <a:ext cx="1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91" name="Line 244"/>
            <xdr:cNvSpPr>
              <a:spLocks/>
            </xdr:cNvSpPr>
          </xdr:nvSpPr>
          <xdr:spPr>
            <a:xfrm flipH="1">
              <a:off x="377" y="3485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92" name="Line 245"/>
            <xdr:cNvSpPr>
              <a:spLocks/>
            </xdr:cNvSpPr>
          </xdr:nvSpPr>
          <xdr:spPr>
            <a:xfrm flipH="1">
              <a:off x="383" y="3471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93" name="Group 247"/>
          <xdr:cNvGrpSpPr>
            <a:grpSpLocks/>
          </xdr:cNvGrpSpPr>
        </xdr:nvGrpSpPr>
        <xdr:grpSpPr>
          <a:xfrm>
            <a:off x="360" y="3620"/>
            <a:ext cx="53" cy="29"/>
            <a:chOff x="361" y="3471"/>
            <a:chExt cx="53" cy="29"/>
          </a:xfrm>
          <a:solidFill>
            <a:srgbClr val="FFFFFF"/>
          </a:solidFill>
        </xdr:grpSpPr>
        <xdr:sp>
          <xdr:nvSpPr>
            <xdr:cNvPr id="194" name="Line 248"/>
            <xdr:cNvSpPr>
              <a:spLocks/>
            </xdr:cNvSpPr>
          </xdr:nvSpPr>
          <xdr:spPr>
            <a:xfrm>
              <a:off x="361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95" name="Line 249"/>
            <xdr:cNvSpPr>
              <a:spLocks/>
            </xdr:cNvSpPr>
          </xdr:nvSpPr>
          <xdr:spPr>
            <a:xfrm>
              <a:off x="392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96" name="Line 250"/>
            <xdr:cNvSpPr>
              <a:spLocks/>
            </xdr:cNvSpPr>
          </xdr:nvSpPr>
          <xdr:spPr>
            <a:xfrm flipH="1">
              <a:off x="377" y="3471"/>
              <a:ext cx="1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97" name="Line 251"/>
            <xdr:cNvSpPr>
              <a:spLocks/>
            </xdr:cNvSpPr>
          </xdr:nvSpPr>
          <xdr:spPr>
            <a:xfrm flipH="1">
              <a:off x="377" y="3485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198" name="Line 252"/>
            <xdr:cNvSpPr>
              <a:spLocks/>
            </xdr:cNvSpPr>
          </xdr:nvSpPr>
          <xdr:spPr>
            <a:xfrm flipH="1">
              <a:off x="383" y="3471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199" name="Group 319"/>
          <xdr:cNvGrpSpPr>
            <a:grpSpLocks/>
          </xdr:cNvGrpSpPr>
        </xdr:nvGrpSpPr>
        <xdr:grpSpPr>
          <a:xfrm>
            <a:off x="500" y="3555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200" name="Group 320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201" name="Rectangle 321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02" name="Rectangle 322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03" name="Rectangle 323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04" name="Rectangle 324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05" name="Rectangle 325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06" name="Rectangle 326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207" name="Line 327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08" name="Line 328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09" name="Line 329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10" name="Line 330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11" name="Line 331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212" name="Group 367"/>
          <xdr:cNvGrpSpPr>
            <a:grpSpLocks/>
          </xdr:cNvGrpSpPr>
        </xdr:nvGrpSpPr>
        <xdr:grpSpPr>
          <a:xfrm>
            <a:off x="481" y="3551"/>
            <a:ext cx="13" cy="16"/>
            <a:chOff x="994" y="92"/>
            <a:chExt cx="35" cy="41"/>
          </a:xfrm>
          <a:solidFill>
            <a:srgbClr val="FFFFFF"/>
          </a:solidFill>
        </xdr:grpSpPr>
        <xdr:sp>
          <xdr:nvSpPr>
            <xdr:cNvPr id="213" name="Oval 368"/>
            <xdr:cNvSpPr>
              <a:spLocks/>
            </xdr:cNvSpPr>
          </xdr:nvSpPr>
          <xdr:spPr>
            <a:xfrm>
              <a:off x="994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14" name="Oval 369"/>
            <xdr:cNvSpPr>
              <a:spLocks/>
            </xdr:cNvSpPr>
          </xdr:nvSpPr>
          <xdr:spPr>
            <a:xfrm>
              <a:off x="1021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15" name="Oval 370"/>
            <xdr:cNvSpPr>
              <a:spLocks/>
            </xdr:cNvSpPr>
          </xdr:nvSpPr>
          <xdr:spPr>
            <a:xfrm>
              <a:off x="1007" y="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16" name="Line 371"/>
            <xdr:cNvSpPr>
              <a:spLocks/>
            </xdr:cNvSpPr>
          </xdr:nvSpPr>
          <xdr:spPr>
            <a:xfrm flipH="1">
              <a:off x="994" y="94"/>
              <a:ext cx="14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17" name="Line 372"/>
            <xdr:cNvSpPr>
              <a:spLocks/>
            </xdr:cNvSpPr>
          </xdr:nvSpPr>
          <xdr:spPr>
            <a:xfrm>
              <a:off x="1015" y="95"/>
              <a:ext cx="13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18" name="Line 373"/>
            <xdr:cNvSpPr>
              <a:spLocks/>
            </xdr:cNvSpPr>
          </xdr:nvSpPr>
          <xdr:spPr>
            <a:xfrm>
              <a:off x="998" y="133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219" name="Line 388"/>
          <xdr:cNvSpPr>
            <a:spLocks/>
          </xdr:cNvSpPr>
        </xdr:nvSpPr>
        <xdr:spPr>
          <a:xfrm>
            <a:off x="476" y="3570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20" name="Line 402"/>
          <xdr:cNvSpPr>
            <a:spLocks/>
          </xdr:cNvSpPr>
        </xdr:nvSpPr>
        <xdr:spPr>
          <a:xfrm>
            <a:off x="271" y="3570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221" name="Group 403"/>
          <xdr:cNvGrpSpPr>
            <a:grpSpLocks/>
          </xdr:cNvGrpSpPr>
        </xdr:nvGrpSpPr>
        <xdr:grpSpPr>
          <a:xfrm>
            <a:off x="277" y="3551"/>
            <a:ext cx="13" cy="16"/>
            <a:chOff x="994" y="92"/>
            <a:chExt cx="35" cy="41"/>
          </a:xfrm>
          <a:solidFill>
            <a:srgbClr val="FFFFFF"/>
          </a:solidFill>
        </xdr:grpSpPr>
        <xdr:sp>
          <xdr:nvSpPr>
            <xdr:cNvPr id="222" name="Oval 404"/>
            <xdr:cNvSpPr>
              <a:spLocks/>
            </xdr:cNvSpPr>
          </xdr:nvSpPr>
          <xdr:spPr>
            <a:xfrm>
              <a:off x="994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23" name="Oval 405"/>
            <xdr:cNvSpPr>
              <a:spLocks/>
            </xdr:cNvSpPr>
          </xdr:nvSpPr>
          <xdr:spPr>
            <a:xfrm>
              <a:off x="1021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24" name="Oval 406"/>
            <xdr:cNvSpPr>
              <a:spLocks/>
            </xdr:cNvSpPr>
          </xdr:nvSpPr>
          <xdr:spPr>
            <a:xfrm>
              <a:off x="1007" y="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25" name="Line 407"/>
            <xdr:cNvSpPr>
              <a:spLocks/>
            </xdr:cNvSpPr>
          </xdr:nvSpPr>
          <xdr:spPr>
            <a:xfrm flipH="1">
              <a:off x="994" y="94"/>
              <a:ext cx="14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26" name="Line 408"/>
            <xdr:cNvSpPr>
              <a:spLocks/>
            </xdr:cNvSpPr>
          </xdr:nvSpPr>
          <xdr:spPr>
            <a:xfrm>
              <a:off x="1015" y="95"/>
              <a:ext cx="13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27" name="Line 409"/>
            <xdr:cNvSpPr>
              <a:spLocks/>
            </xdr:cNvSpPr>
          </xdr:nvSpPr>
          <xdr:spPr>
            <a:xfrm>
              <a:off x="998" y="133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228" name="Group 410"/>
          <xdr:cNvGrpSpPr>
            <a:grpSpLocks/>
          </xdr:cNvGrpSpPr>
        </xdr:nvGrpSpPr>
        <xdr:grpSpPr>
          <a:xfrm>
            <a:off x="196" y="3555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229" name="Group 411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230" name="Rectangle 412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31" name="Rectangle 413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32" name="Rectangle 414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33" name="Rectangle 415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34" name="Rectangle 416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35" name="Rectangle 417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236" name="Line 418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37" name="Line 419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38" name="Line 420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39" name="Line 421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40" name="Line 422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241" name="Group 439"/>
          <xdr:cNvGrpSpPr>
            <a:grpSpLocks/>
          </xdr:cNvGrpSpPr>
        </xdr:nvGrpSpPr>
        <xdr:grpSpPr>
          <a:xfrm>
            <a:off x="177" y="3551"/>
            <a:ext cx="13" cy="16"/>
            <a:chOff x="994" y="92"/>
            <a:chExt cx="35" cy="41"/>
          </a:xfrm>
          <a:solidFill>
            <a:srgbClr val="FFFFFF"/>
          </a:solidFill>
        </xdr:grpSpPr>
        <xdr:sp>
          <xdr:nvSpPr>
            <xdr:cNvPr id="242" name="Oval 440"/>
            <xdr:cNvSpPr>
              <a:spLocks/>
            </xdr:cNvSpPr>
          </xdr:nvSpPr>
          <xdr:spPr>
            <a:xfrm>
              <a:off x="994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43" name="Oval 441"/>
            <xdr:cNvSpPr>
              <a:spLocks/>
            </xdr:cNvSpPr>
          </xdr:nvSpPr>
          <xdr:spPr>
            <a:xfrm>
              <a:off x="1021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44" name="Oval 442"/>
            <xdr:cNvSpPr>
              <a:spLocks/>
            </xdr:cNvSpPr>
          </xdr:nvSpPr>
          <xdr:spPr>
            <a:xfrm>
              <a:off x="1007" y="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45" name="Line 443"/>
            <xdr:cNvSpPr>
              <a:spLocks/>
            </xdr:cNvSpPr>
          </xdr:nvSpPr>
          <xdr:spPr>
            <a:xfrm flipH="1">
              <a:off x="994" y="94"/>
              <a:ext cx="14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46" name="Line 444"/>
            <xdr:cNvSpPr>
              <a:spLocks/>
            </xdr:cNvSpPr>
          </xdr:nvSpPr>
          <xdr:spPr>
            <a:xfrm>
              <a:off x="1015" y="95"/>
              <a:ext cx="13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47" name="Line 445"/>
            <xdr:cNvSpPr>
              <a:spLocks/>
            </xdr:cNvSpPr>
          </xdr:nvSpPr>
          <xdr:spPr>
            <a:xfrm>
              <a:off x="998" y="133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248" name="Oval 447"/>
          <xdr:cNvSpPr>
            <a:spLocks/>
          </xdr:cNvSpPr>
        </xdr:nvSpPr>
        <xdr:spPr>
          <a:xfrm>
            <a:off x="343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49" name="Oval 448"/>
          <xdr:cNvSpPr>
            <a:spLocks/>
          </xdr:cNvSpPr>
        </xdr:nvSpPr>
        <xdr:spPr>
          <a:xfrm>
            <a:off x="335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0" name="Oval 449"/>
          <xdr:cNvSpPr>
            <a:spLocks/>
          </xdr:cNvSpPr>
        </xdr:nvSpPr>
        <xdr:spPr>
          <a:xfrm>
            <a:off x="327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1" name="Oval 450"/>
          <xdr:cNvSpPr>
            <a:spLocks/>
          </xdr:cNvSpPr>
        </xdr:nvSpPr>
        <xdr:spPr>
          <a:xfrm>
            <a:off x="439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2" name="Oval 451"/>
          <xdr:cNvSpPr>
            <a:spLocks/>
          </xdr:cNvSpPr>
        </xdr:nvSpPr>
        <xdr:spPr>
          <a:xfrm>
            <a:off x="431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3" name="Oval 452"/>
          <xdr:cNvSpPr>
            <a:spLocks/>
          </xdr:cNvSpPr>
        </xdr:nvSpPr>
        <xdr:spPr>
          <a:xfrm>
            <a:off x="423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4" name="Oval 453"/>
          <xdr:cNvSpPr>
            <a:spLocks/>
          </xdr:cNvSpPr>
        </xdr:nvSpPr>
        <xdr:spPr>
          <a:xfrm>
            <a:off x="319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5" name="Oval 454"/>
          <xdr:cNvSpPr>
            <a:spLocks/>
          </xdr:cNvSpPr>
        </xdr:nvSpPr>
        <xdr:spPr>
          <a:xfrm>
            <a:off x="311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6" name="Oval 455"/>
          <xdr:cNvSpPr>
            <a:spLocks/>
          </xdr:cNvSpPr>
        </xdr:nvSpPr>
        <xdr:spPr>
          <a:xfrm>
            <a:off x="303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7" name="Oval 456"/>
          <xdr:cNvSpPr>
            <a:spLocks/>
          </xdr:cNvSpPr>
        </xdr:nvSpPr>
        <xdr:spPr>
          <a:xfrm>
            <a:off x="463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8" name="Oval 457"/>
          <xdr:cNvSpPr>
            <a:spLocks/>
          </xdr:cNvSpPr>
        </xdr:nvSpPr>
        <xdr:spPr>
          <a:xfrm>
            <a:off x="455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59" name="Oval 458"/>
          <xdr:cNvSpPr>
            <a:spLocks/>
          </xdr:cNvSpPr>
        </xdr:nvSpPr>
        <xdr:spPr>
          <a:xfrm>
            <a:off x="447" y="3553"/>
            <a:ext cx="5" cy="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60" name="Line 459"/>
          <xdr:cNvSpPr>
            <a:spLocks/>
          </xdr:cNvSpPr>
        </xdr:nvSpPr>
        <xdr:spPr>
          <a:xfrm>
            <a:off x="302" y="3560"/>
            <a:ext cx="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261" name="Line 473"/>
          <xdr:cNvSpPr>
            <a:spLocks/>
          </xdr:cNvSpPr>
        </xdr:nvSpPr>
        <xdr:spPr>
          <a:xfrm>
            <a:off x="574" y="3570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262" name="Group 474"/>
          <xdr:cNvGrpSpPr>
            <a:grpSpLocks/>
          </xdr:cNvGrpSpPr>
        </xdr:nvGrpSpPr>
        <xdr:grpSpPr>
          <a:xfrm>
            <a:off x="580" y="3551"/>
            <a:ext cx="13" cy="16"/>
            <a:chOff x="994" y="92"/>
            <a:chExt cx="35" cy="41"/>
          </a:xfrm>
          <a:solidFill>
            <a:srgbClr val="FFFFFF"/>
          </a:solidFill>
        </xdr:grpSpPr>
        <xdr:sp>
          <xdr:nvSpPr>
            <xdr:cNvPr id="263" name="Oval 475"/>
            <xdr:cNvSpPr>
              <a:spLocks/>
            </xdr:cNvSpPr>
          </xdr:nvSpPr>
          <xdr:spPr>
            <a:xfrm>
              <a:off x="994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64" name="Oval 476"/>
            <xdr:cNvSpPr>
              <a:spLocks/>
            </xdr:cNvSpPr>
          </xdr:nvSpPr>
          <xdr:spPr>
            <a:xfrm>
              <a:off x="1021" y="125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65" name="Oval 477"/>
            <xdr:cNvSpPr>
              <a:spLocks/>
            </xdr:cNvSpPr>
          </xdr:nvSpPr>
          <xdr:spPr>
            <a:xfrm>
              <a:off x="1007" y="9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66" name="Line 478"/>
            <xdr:cNvSpPr>
              <a:spLocks/>
            </xdr:cNvSpPr>
          </xdr:nvSpPr>
          <xdr:spPr>
            <a:xfrm flipH="1">
              <a:off x="994" y="94"/>
              <a:ext cx="14" cy="3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67" name="Line 479"/>
            <xdr:cNvSpPr>
              <a:spLocks/>
            </xdr:cNvSpPr>
          </xdr:nvSpPr>
          <xdr:spPr>
            <a:xfrm>
              <a:off x="1015" y="95"/>
              <a:ext cx="13" cy="3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68" name="Line 480"/>
            <xdr:cNvSpPr>
              <a:spLocks/>
            </xdr:cNvSpPr>
          </xdr:nvSpPr>
          <xdr:spPr>
            <a:xfrm>
              <a:off x="998" y="133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269" name="Line 481"/>
          <xdr:cNvSpPr>
            <a:spLocks/>
          </xdr:cNvSpPr>
        </xdr:nvSpPr>
        <xdr:spPr>
          <a:xfrm>
            <a:off x="475" y="354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270" name="Group 483"/>
          <xdr:cNvGrpSpPr>
            <a:grpSpLocks/>
          </xdr:cNvGrpSpPr>
        </xdr:nvGrpSpPr>
        <xdr:grpSpPr>
          <a:xfrm>
            <a:off x="599" y="3555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271" name="Group 484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272" name="Rectangle 485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73" name="Rectangle 486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74" name="Rectangle 487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75" name="Rectangle 488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76" name="Rectangle 489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77" name="Rectangle 490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278" name="Line 491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79" name="Line 492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80" name="Line 493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81" name="Line 494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82" name="Line 495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283" name="Line 516"/>
          <xdr:cNvSpPr>
            <a:spLocks/>
          </xdr:cNvSpPr>
        </xdr:nvSpPr>
        <xdr:spPr>
          <a:xfrm>
            <a:off x="673" y="3570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284" name="Group 517"/>
          <xdr:cNvGrpSpPr>
            <a:grpSpLocks/>
          </xdr:cNvGrpSpPr>
        </xdr:nvGrpSpPr>
        <xdr:grpSpPr>
          <a:xfrm rot="16101177">
            <a:off x="693" y="3541"/>
            <a:ext cx="8" cy="40"/>
            <a:chOff x="361" y="3471"/>
            <a:chExt cx="53" cy="29"/>
          </a:xfrm>
          <a:solidFill>
            <a:srgbClr val="FFFFFF"/>
          </a:solidFill>
        </xdr:grpSpPr>
        <xdr:sp>
          <xdr:nvSpPr>
            <xdr:cNvPr id="285" name="Line 518"/>
            <xdr:cNvSpPr>
              <a:spLocks/>
            </xdr:cNvSpPr>
          </xdr:nvSpPr>
          <xdr:spPr>
            <a:xfrm>
              <a:off x="361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86" name="Line 519"/>
            <xdr:cNvSpPr>
              <a:spLocks/>
            </xdr:cNvSpPr>
          </xdr:nvSpPr>
          <xdr:spPr>
            <a:xfrm>
              <a:off x="392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87" name="Line 520"/>
            <xdr:cNvSpPr>
              <a:spLocks/>
            </xdr:cNvSpPr>
          </xdr:nvSpPr>
          <xdr:spPr>
            <a:xfrm flipH="1">
              <a:off x="377" y="3471"/>
              <a:ext cx="1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88" name="Line 521"/>
            <xdr:cNvSpPr>
              <a:spLocks/>
            </xdr:cNvSpPr>
          </xdr:nvSpPr>
          <xdr:spPr>
            <a:xfrm flipH="1">
              <a:off x="377" y="3485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89" name="Line 522"/>
            <xdr:cNvSpPr>
              <a:spLocks/>
            </xdr:cNvSpPr>
          </xdr:nvSpPr>
          <xdr:spPr>
            <a:xfrm flipH="1">
              <a:off x="383" y="3471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grpSp>
        <xdr:nvGrpSpPr>
          <xdr:cNvPr id="290" name="Group 523"/>
          <xdr:cNvGrpSpPr>
            <a:grpSpLocks/>
          </xdr:cNvGrpSpPr>
        </xdr:nvGrpSpPr>
        <xdr:grpSpPr>
          <a:xfrm>
            <a:off x="97" y="3555"/>
            <a:ext cx="74" cy="15"/>
            <a:chOff x="253" y="3575"/>
            <a:chExt cx="74" cy="21"/>
          </a:xfrm>
          <a:solidFill>
            <a:srgbClr val="FFFFFF"/>
          </a:solidFill>
        </xdr:grpSpPr>
        <xdr:grpSp>
          <xdr:nvGrpSpPr>
            <xdr:cNvPr id="291" name="Group 524"/>
            <xdr:cNvGrpSpPr>
              <a:grpSpLocks/>
            </xdr:cNvGrpSpPr>
          </xdr:nvGrpSpPr>
          <xdr:grpSpPr>
            <a:xfrm>
              <a:off x="256" y="3579"/>
              <a:ext cx="68" cy="12"/>
              <a:chOff x="858" y="108"/>
              <a:chExt cx="116" cy="23"/>
            </a:xfrm>
            <a:solidFill>
              <a:srgbClr val="FFFFFF"/>
            </a:solidFill>
          </xdr:grpSpPr>
          <xdr:sp>
            <xdr:nvSpPr>
              <xdr:cNvPr id="292" name="Rectangle 525"/>
              <xdr:cNvSpPr>
                <a:spLocks/>
              </xdr:cNvSpPr>
            </xdr:nvSpPr>
            <xdr:spPr>
              <a:xfrm>
                <a:off x="85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93" name="Rectangle 526"/>
              <xdr:cNvSpPr>
                <a:spLocks/>
              </xdr:cNvSpPr>
            </xdr:nvSpPr>
            <xdr:spPr>
              <a:xfrm>
                <a:off x="878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94" name="Rectangle 527"/>
              <xdr:cNvSpPr>
                <a:spLocks/>
              </xdr:cNvSpPr>
            </xdr:nvSpPr>
            <xdr:spPr>
              <a:xfrm>
                <a:off x="899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95" name="Rectangle 528"/>
              <xdr:cNvSpPr>
                <a:spLocks/>
              </xdr:cNvSpPr>
            </xdr:nvSpPr>
            <xdr:spPr>
              <a:xfrm>
                <a:off x="92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96" name="Rectangle 529"/>
              <xdr:cNvSpPr>
                <a:spLocks/>
              </xdr:cNvSpPr>
            </xdr:nvSpPr>
            <xdr:spPr>
              <a:xfrm>
                <a:off x="943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  <xdr:sp>
            <xdr:nvSpPr>
              <xdr:cNvPr id="297" name="Rectangle 530"/>
              <xdr:cNvSpPr>
                <a:spLocks/>
              </xdr:cNvSpPr>
            </xdr:nvSpPr>
            <xdr:spPr>
              <a:xfrm>
                <a:off x="962" y="108"/>
                <a:ext cx="12" cy="23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omic Sans MS"/>
                    <a:ea typeface="Comic Sans MS"/>
                    <a:cs typeface="Comic Sans MS"/>
                  </a:rPr>
                  <a:t/>
                </a:r>
              </a:p>
            </xdr:txBody>
          </xdr:sp>
        </xdr:grpSp>
        <xdr:sp>
          <xdr:nvSpPr>
            <xdr:cNvPr id="298" name="Line 531"/>
            <xdr:cNvSpPr>
              <a:spLocks/>
            </xdr:cNvSpPr>
          </xdr:nvSpPr>
          <xdr:spPr>
            <a:xfrm>
              <a:off x="253" y="3575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299" name="Line 532"/>
            <xdr:cNvSpPr>
              <a:spLocks/>
            </xdr:cNvSpPr>
          </xdr:nvSpPr>
          <xdr:spPr>
            <a:xfrm>
              <a:off x="327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00" name="Line 533"/>
            <xdr:cNvSpPr>
              <a:spLocks/>
            </xdr:cNvSpPr>
          </xdr:nvSpPr>
          <xdr:spPr>
            <a:xfrm>
              <a:off x="290" y="3575"/>
              <a:ext cx="0" cy="2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01" name="Line 534"/>
            <xdr:cNvSpPr>
              <a:spLocks/>
            </xdr:cNvSpPr>
          </xdr:nvSpPr>
          <xdr:spPr>
            <a:xfrm>
              <a:off x="253" y="3596"/>
              <a:ext cx="7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02" name="Line 535"/>
            <xdr:cNvSpPr>
              <a:spLocks/>
            </xdr:cNvSpPr>
          </xdr:nvSpPr>
          <xdr:spPr>
            <a:xfrm>
              <a:off x="253" y="3576"/>
              <a:ext cx="0" cy="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303" name="Line 536"/>
          <xdr:cNvSpPr>
            <a:spLocks/>
          </xdr:cNvSpPr>
        </xdr:nvSpPr>
        <xdr:spPr>
          <a:xfrm>
            <a:off x="171" y="3570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grpSp>
        <xdr:nvGrpSpPr>
          <xdr:cNvPr id="304" name="Group 537"/>
          <xdr:cNvGrpSpPr>
            <a:grpSpLocks/>
          </xdr:cNvGrpSpPr>
        </xdr:nvGrpSpPr>
        <xdr:grpSpPr>
          <a:xfrm rot="16101177">
            <a:off x="67" y="3541"/>
            <a:ext cx="8" cy="40"/>
            <a:chOff x="361" y="3471"/>
            <a:chExt cx="53" cy="29"/>
          </a:xfrm>
          <a:solidFill>
            <a:srgbClr val="FFFFFF"/>
          </a:solidFill>
        </xdr:grpSpPr>
        <xdr:sp>
          <xdr:nvSpPr>
            <xdr:cNvPr id="305" name="Line 538"/>
            <xdr:cNvSpPr>
              <a:spLocks/>
            </xdr:cNvSpPr>
          </xdr:nvSpPr>
          <xdr:spPr>
            <a:xfrm>
              <a:off x="361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06" name="Line 539"/>
            <xdr:cNvSpPr>
              <a:spLocks/>
            </xdr:cNvSpPr>
          </xdr:nvSpPr>
          <xdr:spPr>
            <a:xfrm>
              <a:off x="392" y="348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07" name="Line 540"/>
            <xdr:cNvSpPr>
              <a:spLocks/>
            </xdr:cNvSpPr>
          </xdr:nvSpPr>
          <xdr:spPr>
            <a:xfrm flipH="1">
              <a:off x="377" y="3471"/>
              <a:ext cx="19" cy="2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08" name="Line 541"/>
            <xdr:cNvSpPr>
              <a:spLocks/>
            </xdr:cNvSpPr>
          </xdr:nvSpPr>
          <xdr:spPr>
            <a:xfrm flipH="1">
              <a:off x="377" y="3485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  <xdr:sp>
          <xdr:nvSpPr>
            <xdr:cNvPr id="309" name="Line 542"/>
            <xdr:cNvSpPr>
              <a:spLocks/>
            </xdr:cNvSpPr>
          </xdr:nvSpPr>
          <xdr:spPr>
            <a:xfrm flipH="1">
              <a:off x="383" y="3471"/>
              <a:ext cx="14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omic Sans MS"/>
                  <a:ea typeface="Comic Sans MS"/>
                  <a:cs typeface="Comic Sans MS"/>
                </a:rPr>
                <a:t/>
              </a:r>
            </a:p>
          </xdr:txBody>
        </xdr:sp>
      </xdr:grpSp>
      <xdr:sp>
        <xdr:nvSpPr>
          <xdr:cNvPr id="310" name="Line 543"/>
          <xdr:cNvSpPr>
            <a:spLocks/>
          </xdr:cNvSpPr>
        </xdr:nvSpPr>
        <xdr:spPr>
          <a:xfrm>
            <a:off x="71" y="3570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  <xdr:sp>
        <xdr:nvSpPr>
          <xdr:cNvPr id="311" name="Line 333"/>
          <xdr:cNvSpPr>
            <a:spLocks/>
          </xdr:cNvSpPr>
        </xdr:nvSpPr>
        <xdr:spPr>
          <a:xfrm>
            <a:off x="299" y="355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mic Sans MS"/>
                <a:ea typeface="Comic Sans MS"/>
                <a:cs typeface="Comic Sans MS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123825</xdr:colOff>
      <xdr:row>11</xdr:row>
      <xdr:rowOff>28575</xdr:rowOff>
    </xdr:to>
    <xdr:sp>
      <xdr:nvSpPr>
        <xdr:cNvPr id="312" name="Line 351"/>
        <xdr:cNvSpPr>
          <a:spLocks/>
        </xdr:cNvSpPr>
      </xdr:nvSpPr>
      <xdr:spPr>
        <a:xfrm>
          <a:off x="14887575" y="1809750"/>
          <a:ext cx="123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33</xdr:col>
      <xdr:colOff>228600</xdr:colOff>
      <xdr:row>11</xdr:row>
      <xdr:rowOff>142875</xdr:rowOff>
    </xdr:from>
    <xdr:to>
      <xdr:col>34</xdr:col>
      <xdr:colOff>47625</xdr:colOff>
      <xdr:row>15</xdr:row>
      <xdr:rowOff>0</xdr:rowOff>
    </xdr:to>
    <xdr:sp>
      <xdr:nvSpPr>
        <xdr:cNvPr id="313" name="Line 352"/>
        <xdr:cNvSpPr>
          <a:spLocks/>
        </xdr:cNvSpPr>
      </xdr:nvSpPr>
      <xdr:spPr>
        <a:xfrm flipV="1">
          <a:off x="14868525" y="2143125"/>
          <a:ext cx="666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38</xdr:col>
      <xdr:colOff>85725</xdr:colOff>
      <xdr:row>11</xdr:row>
      <xdr:rowOff>104775</xdr:rowOff>
    </xdr:from>
    <xdr:to>
      <xdr:col>42</xdr:col>
      <xdr:colOff>0</xdr:colOff>
      <xdr:row>15</xdr:row>
      <xdr:rowOff>0</xdr:rowOff>
    </xdr:to>
    <xdr:sp>
      <xdr:nvSpPr>
        <xdr:cNvPr id="314" name="Line 353"/>
        <xdr:cNvSpPr>
          <a:spLocks/>
        </xdr:cNvSpPr>
      </xdr:nvSpPr>
      <xdr:spPr>
        <a:xfrm flipH="1" flipV="1">
          <a:off x="15963900" y="2105025"/>
          <a:ext cx="9048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28</xdr:col>
      <xdr:colOff>238125</xdr:colOff>
      <xdr:row>13</xdr:row>
      <xdr:rowOff>133350</xdr:rowOff>
    </xdr:from>
    <xdr:to>
      <xdr:col>30</xdr:col>
      <xdr:colOff>57150</xdr:colOff>
      <xdr:row>15</xdr:row>
      <xdr:rowOff>9525</xdr:rowOff>
    </xdr:to>
    <xdr:sp>
      <xdr:nvSpPr>
        <xdr:cNvPr id="315" name="Line 364"/>
        <xdr:cNvSpPr>
          <a:spLocks/>
        </xdr:cNvSpPr>
      </xdr:nvSpPr>
      <xdr:spPr>
        <a:xfrm flipV="1">
          <a:off x="13639800" y="2486025"/>
          <a:ext cx="3143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34</xdr:col>
      <xdr:colOff>0</xdr:colOff>
      <xdr:row>39</xdr:row>
      <xdr:rowOff>133350</xdr:rowOff>
    </xdr:from>
    <xdr:to>
      <xdr:col>34</xdr:col>
      <xdr:colOff>66675</xdr:colOff>
      <xdr:row>43</xdr:row>
      <xdr:rowOff>0</xdr:rowOff>
    </xdr:to>
    <xdr:sp>
      <xdr:nvSpPr>
        <xdr:cNvPr id="316" name="Line 366"/>
        <xdr:cNvSpPr>
          <a:spLocks/>
        </xdr:cNvSpPr>
      </xdr:nvSpPr>
      <xdr:spPr>
        <a:xfrm flipV="1">
          <a:off x="14887575" y="7162800"/>
          <a:ext cx="666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38</xdr:col>
      <xdr:colOff>123825</xdr:colOff>
      <xdr:row>39</xdr:row>
      <xdr:rowOff>133350</xdr:rowOff>
    </xdr:from>
    <xdr:to>
      <xdr:col>42</xdr:col>
      <xdr:colOff>9525</xdr:colOff>
      <xdr:row>43</xdr:row>
      <xdr:rowOff>0</xdr:rowOff>
    </xdr:to>
    <xdr:sp>
      <xdr:nvSpPr>
        <xdr:cNvPr id="317" name="Line 367"/>
        <xdr:cNvSpPr>
          <a:spLocks/>
        </xdr:cNvSpPr>
      </xdr:nvSpPr>
      <xdr:spPr>
        <a:xfrm flipH="1" flipV="1">
          <a:off x="16002000" y="7162800"/>
          <a:ext cx="8763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28</xdr:col>
      <xdr:colOff>228600</xdr:colOff>
      <xdr:row>41</xdr:row>
      <xdr:rowOff>180975</xdr:rowOff>
    </xdr:from>
    <xdr:to>
      <xdr:col>30</xdr:col>
      <xdr:colOff>57150</xdr:colOff>
      <xdr:row>43</xdr:row>
      <xdr:rowOff>0</xdr:rowOff>
    </xdr:to>
    <xdr:sp>
      <xdr:nvSpPr>
        <xdr:cNvPr id="318" name="Line 368"/>
        <xdr:cNvSpPr>
          <a:spLocks/>
        </xdr:cNvSpPr>
      </xdr:nvSpPr>
      <xdr:spPr>
        <a:xfrm flipV="1">
          <a:off x="13630275" y="7534275"/>
          <a:ext cx="323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34</xdr:col>
      <xdr:colOff>123825</xdr:colOff>
      <xdr:row>38</xdr:row>
      <xdr:rowOff>9525</xdr:rowOff>
    </xdr:from>
    <xdr:to>
      <xdr:col>35</xdr:col>
      <xdr:colOff>0</xdr:colOff>
      <xdr:row>39</xdr:row>
      <xdr:rowOff>0</xdr:rowOff>
    </xdr:to>
    <xdr:sp>
      <xdr:nvSpPr>
        <xdr:cNvPr id="319" name="Line 369"/>
        <xdr:cNvSpPr>
          <a:spLocks/>
        </xdr:cNvSpPr>
      </xdr:nvSpPr>
      <xdr:spPr>
        <a:xfrm flipH="1">
          <a:off x="15011400" y="6838950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29</xdr:col>
      <xdr:colOff>9525</xdr:colOff>
      <xdr:row>10</xdr:row>
      <xdr:rowOff>0</xdr:rowOff>
    </xdr:from>
    <xdr:to>
      <xdr:col>30</xdr:col>
      <xdr:colOff>114300</xdr:colOff>
      <xdr:row>11</xdr:row>
      <xdr:rowOff>28575</xdr:rowOff>
    </xdr:to>
    <xdr:sp>
      <xdr:nvSpPr>
        <xdr:cNvPr id="320" name="Line 402"/>
        <xdr:cNvSpPr>
          <a:spLocks/>
        </xdr:cNvSpPr>
      </xdr:nvSpPr>
      <xdr:spPr>
        <a:xfrm>
          <a:off x="13658850" y="1809750"/>
          <a:ext cx="3524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28</xdr:col>
      <xdr:colOff>228600</xdr:colOff>
      <xdr:row>38</xdr:row>
      <xdr:rowOff>9525</xdr:rowOff>
    </xdr:from>
    <xdr:to>
      <xdr:col>30</xdr:col>
      <xdr:colOff>85725</xdr:colOff>
      <xdr:row>39</xdr:row>
      <xdr:rowOff>76200</xdr:rowOff>
    </xdr:to>
    <xdr:sp>
      <xdr:nvSpPr>
        <xdr:cNvPr id="321" name="Line 469"/>
        <xdr:cNvSpPr>
          <a:spLocks/>
        </xdr:cNvSpPr>
      </xdr:nvSpPr>
      <xdr:spPr>
        <a:xfrm>
          <a:off x="13630275" y="6838950"/>
          <a:ext cx="3524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29</xdr:col>
      <xdr:colOff>180975</xdr:colOff>
      <xdr:row>9</xdr:row>
      <xdr:rowOff>47625</xdr:rowOff>
    </xdr:from>
    <xdr:to>
      <xdr:col>31</xdr:col>
      <xdr:colOff>104775</xdr:colOff>
      <xdr:row>10</xdr:row>
      <xdr:rowOff>28575</xdr:rowOff>
    </xdr:to>
    <xdr:sp>
      <xdr:nvSpPr>
        <xdr:cNvPr id="322" name="AutoShape 476"/>
        <xdr:cNvSpPr>
          <a:spLocks/>
        </xdr:cNvSpPr>
      </xdr:nvSpPr>
      <xdr:spPr>
        <a:xfrm rot="5400000">
          <a:off x="13830300" y="1695450"/>
          <a:ext cx="419100" cy="142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30</xdr:col>
      <xdr:colOff>133350</xdr:colOff>
      <xdr:row>8</xdr:row>
      <xdr:rowOff>0</xdr:rowOff>
    </xdr:from>
    <xdr:to>
      <xdr:col>33</xdr:col>
      <xdr:colOff>19050</xdr:colOff>
      <xdr:row>9</xdr:row>
      <xdr:rowOff>47625</xdr:rowOff>
    </xdr:to>
    <xdr:sp>
      <xdr:nvSpPr>
        <xdr:cNvPr id="323" name="Line 477"/>
        <xdr:cNvSpPr>
          <a:spLocks/>
        </xdr:cNvSpPr>
      </xdr:nvSpPr>
      <xdr:spPr>
        <a:xfrm flipH="1">
          <a:off x="14030325" y="1485900"/>
          <a:ext cx="6286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27</xdr:col>
      <xdr:colOff>142875</xdr:colOff>
      <xdr:row>5</xdr:row>
      <xdr:rowOff>28575</xdr:rowOff>
    </xdr:from>
    <xdr:to>
      <xdr:col>33</xdr:col>
      <xdr:colOff>180975</xdr:colOff>
      <xdr:row>6</xdr:row>
      <xdr:rowOff>66675</xdr:rowOff>
    </xdr:to>
    <xdr:sp>
      <xdr:nvSpPr>
        <xdr:cNvPr id="324" name="AutoShape 478"/>
        <xdr:cNvSpPr>
          <a:spLocks/>
        </xdr:cNvSpPr>
      </xdr:nvSpPr>
      <xdr:spPr>
        <a:xfrm rot="5400000">
          <a:off x="13296900" y="1028700"/>
          <a:ext cx="152400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30</xdr:col>
      <xdr:colOff>161925</xdr:colOff>
      <xdr:row>4</xdr:row>
      <xdr:rowOff>9525</xdr:rowOff>
    </xdr:from>
    <xdr:to>
      <xdr:col>32</xdr:col>
      <xdr:colOff>9525</xdr:colOff>
      <xdr:row>5</xdr:row>
      <xdr:rowOff>38100</xdr:rowOff>
    </xdr:to>
    <xdr:sp>
      <xdr:nvSpPr>
        <xdr:cNvPr id="325" name="Line 479"/>
        <xdr:cNvSpPr>
          <a:spLocks/>
        </xdr:cNvSpPr>
      </xdr:nvSpPr>
      <xdr:spPr>
        <a:xfrm flipH="1">
          <a:off x="14058900" y="81915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24</xdr:col>
      <xdr:colOff>219075</xdr:colOff>
      <xdr:row>45</xdr:row>
      <xdr:rowOff>152400</xdr:rowOff>
    </xdr:from>
    <xdr:to>
      <xdr:col>36</xdr:col>
      <xdr:colOff>133350</xdr:colOff>
      <xdr:row>47</xdr:row>
      <xdr:rowOff>66675</xdr:rowOff>
    </xdr:to>
    <xdr:sp>
      <xdr:nvSpPr>
        <xdr:cNvPr id="326" name="Rectangle 480"/>
        <xdr:cNvSpPr>
          <a:spLocks/>
        </xdr:cNvSpPr>
      </xdr:nvSpPr>
      <xdr:spPr>
        <a:xfrm>
          <a:off x="12630150" y="8201025"/>
          <a:ext cx="28860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SECCION EN  LA ZONA ALIGERADA</a:t>
          </a:r>
        </a:p>
      </xdr:txBody>
    </xdr:sp>
    <xdr:clientData/>
  </xdr:twoCellAnchor>
  <xdr:twoCellAnchor>
    <xdr:from>
      <xdr:col>24</xdr:col>
      <xdr:colOff>200025</xdr:colOff>
      <xdr:row>17</xdr:row>
      <xdr:rowOff>76200</xdr:rowOff>
    </xdr:from>
    <xdr:to>
      <xdr:col>36</xdr:col>
      <xdr:colOff>104775</xdr:colOff>
      <xdr:row>18</xdr:row>
      <xdr:rowOff>95250</xdr:rowOff>
    </xdr:to>
    <xdr:sp>
      <xdr:nvSpPr>
        <xdr:cNvPr id="327" name="Rectangle 481"/>
        <xdr:cNvSpPr>
          <a:spLocks/>
        </xdr:cNvSpPr>
      </xdr:nvSpPr>
      <xdr:spPr>
        <a:xfrm>
          <a:off x="12611100" y="3152775"/>
          <a:ext cx="2876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omic Sans MS"/>
              <a:ea typeface="Comic Sans MS"/>
              <a:cs typeface="Comic Sans MS"/>
            </a:rPr>
            <a:t>SECCION EN  LA ZONA DEL ABACO</a:t>
          </a:r>
        </a:p>
      </xdr:txBody>
    </xdr:sp>
    <xdr:clientData/>
  </xdr:twoCellAnchor>
  <xdr:twoCellAnchor>
    <xdr:from>
      <xdr:col>20</xdr:col>
      <xdr:colOff>114300</xdr:colOff>
      <xdr:row>74</xdr:row>
      <xdr:rowOff>104775</xdr:rowOff>
    </xdr:from>
    <xdr:to>
      <xdr:col>38</xdr:col>
      <xdr:colOff>114300</xdr:colOff>
      <xdr:row>74</xdr:row>
      <xdr:rowOff>104775</xdr:rowOff>
    </xdr:to>
    <xdr:sp>
      <xdr:nvSpPr>
        <xdr:cNvPr id="328" name="Line 482"/>
        <xdr:cNvSpPr>
          <a:spLocks/>
        </xdr:cNvSpPr>
      </xdr:nvSpPr>
      <xdr:spPr>
        <a:xfrm>
          <a:off x="11534775" y="13230225"/>
          <a:ext cx="445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20</xdr:col>
      <xdr:colOff>104775</xdr:colOff>
      <xdr:row>73</xdr:row>
      <xdr:rowOff>66675</xdr:rowOff>
    </xdr:from>
    <xdr:to>
      <xdr:col>38</xdr:col>
      <xdr:colOff>123825</xdr:colOff>
      <xdr:row>73</xdr:row>
      <xdr:rowOff>66675</xdr:rowOff>
    </xdr:to>
    <xdr:sp>
      <xdr:nvSpPr>
        <xdr:cNvPr id="329" name="Line 483"/>
        <xdr:cNvSpPr>
          <a:spLocks/>
        </xdr:cNvSpPr>
      </xdr:nvSpPr>
      <xdr:spPr>
        <a:xfrm>
          <a:off x="11525250" y="13001625"/>
          <a:ext cx="4476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20</xdr:col>
      <xdr:colOff>85725</xdr:colOff>
      <xdr:row>74</xdr:row>
      <xdr:rowOff>9525</xdr:rowOff>
    </xdr:from>
    <xdr:to>
      <xdr:col>38</xdr:col>
      <xdr:colOff>142875</xdr:colOff>
      <xdr:row>74</xdr:row>
      <xdr:rowOff>9525</xdr:rowOff>
    </xdr:to>
    <xdr:sp>
      <xdr:nvSpPr>
        <xdr:cNvPr id="330" name="Line 484"/>
        <xdr:cNvSpPr>
          <a:spLocks/>
        </xdr:cNvSpPr>
      </xdr:nvSpPr>
      <xdr:spPr>
        <a:xfrm>
          <a:off x="11506200" y="13134975"/>
          <a:ext cx="45148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209550</xdr:colOff>
      <xdr:row>72</xdr:row>
      <xdr:rowOff>104775</xdr:rowOff>
    </xdr:from>
    <xdr:to>
      <xdr:col>35</xdr:col>
      <xdr:colOff>171450</xdr:colOff>
      <xdr:row>72</xdr:row>
      <xdr:rowOff>104775</xdr:rowOff>
    </xdr:to>
    <xdr:sp>
      <xdr:nvSpPr>
        <xdr:cNvPr id="331" name="Line 485"/>
        <xdr:cNvSpPr>
          <a:spLocks/>
        </xdr:cNvSpPr>
      </xdr:nvSpPr>
      <xdr:spPr>
        <a:xfrm>
          <a:off x="12868275" y="12839700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219075</xdr:colOff>
      <xdr:row>72</xdr:row>
      <xdr:rowOff>171450</xdr:rowOff>
    </xdr:from>
    <xdr:to>
      <xdr:col>35</xdr:col>
      <xdr:colOff>180975</xdr:colOff>
      <xdr:row>72</xdr:row>
      <xdr:rowOff>171450</xdr:rowOff>
    </xdr:to>
    <xdr:sp>
      <xdr:nvSpPr>
        <xdr:cNvPr id="332" name="Line 486"/>
        <xdr:cNvSpPr>
          <a:spLocks/>
        </xdr:cNvSpPr>
      </xdr:nvSpPr>
      <xdr:spPr>
        <a:xfrm>
          <a:off x="12877800" y="12906375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219075</xdr:colOff>
      <xdr:row>72</xdr:row>
      <xdr:rowOff>38100</xdr:rowOff>
    </xdr:from>
    <xdr:to>
      <xdr:col>35</xdr:col>
      <xdr:colOff>180975</xdr:colOff>
      <xdr:row>72</xdr:row>
      <xdr:rowOff>38100</xdr:rowOff>
    </xdr:to>
    <xdr:sp>
      <xdr:nvSpPr>
        <xdr:cNvPr id="333" name="Line 487"/>
        <xdr:cNvSpPr>
          <a:spLocks/>
        </xdr:cNvSpPr>
      </xdr:nvSpPr>
      <xdr:spPr>
        <a:xfrm>
          <a:off x="12877800" y="12773025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219075</xdr:colOff>
      <xdr:row>75</xdr:row>
      <xdr:rowOff>152400</xdr:rowOff>
    </xdr:from>
    <xdr:to>
      <xdr:col>35</xdr:col>
      <xdr:colOff>180975</xdr:colOff>
      <xdr:row>75</xdr:row>
      <xdr:rowOff>152400</xdr:rowOff>
    </xdr:to>
    <xdr:sp>
      <xdr:nvSpPr>
        <xdr:cNvPr id="334" name="Line 488"/>
        <xdr:cNvSpPr>
          <a:spLocks/>
        </xdr:cNvSpPr>
      </xdr:nvSpPr>
      <xdr:spPr>
        <a:xfrm>
          <a:off x="12877800" y="13449300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219075</xdr:colOff>
      <xdr:row>75</xdr:row>
      <xdr:rowOff>95250</xdr:rowOff>
    </xdr:from>
    <xdr:to>
      <xdr:col>35</xdr:col>
      <xdr:colOff>180975</xdr:colOff>
      <xdr:row>75</xdr:row>
      <xdr:rowOff>95250</xdr:rowOff>
    </xdr:to>
    <xdr:sp>
      <xdr:nvSpPr>
        <xdr:cNvPr id="335" name="Line 489"/>
        <xdr:cNvSpPr>
          <a:spLocks/>
        </xdr:cNvSpPr>
      </xdr:nvSpPr>
      <xdr:spPr>
        <a:xfrm>
          <a:off x="12877800" y="13392150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209550</xdr:colOff>
      <xdr:row>75</xdr:row>
      <xdr:rowOff>28575</xdr:rowOff>
    </xdr:from>
    <xdr:to>
      <xdr:col>35</xdr:col>
      <xdr:colOff>171450</xdr:colOff>
      <xdr:row>75</xdr:row>
      <xdr:rowOff>28575</xdr:rowOff>
    </xdr:to>
    <xdr:sp>
      <xdr:nvSpPr>
        <xdr:cNvPr id="336" name="Line 490"/>
        <xdr:cNvSpPr>
          <a:spLocks/>
        </xdr:cNvSpPr>
      </xdr:nvSpPr>
      <xdr:spPr>
        <a:xfrm>
          <a:off x="12868275" y="13325475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228600</xdr:colOff>
      <xdr:row>71</xdr:row>
      <xdr:rowOff>171450</xdr:rowOff>
    </xdr:from>
    <xdr:to>
      <xdr:col>35</xdr:col>
      <xdr:colOff>190500</xdr:colOff>
      <xdr:row>71</xdr:row>
      <xdr:rowOff>171450</xdr:rowOff>
    </xdr:to>
    <xdr:sp>
      <xdr:nvSpPr>
        <xdr:cNvPr id="337" name="Line 491"/>
        <xdr:cNvSpPr>
          <a:spLocks/>
        </xdr:cNvSpPr>
      </xdr:nvSpPr>
      <xdr:spPr>
        <a:xfrm>
          <a:off x="12887325" y="12706350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219075</xdr:colOff>
      <xdr:row>71</xdr:row>
      <xdr:rowOff>95250</xdr:rowOff>
    </xdr:from>
    <xdr:to>
      <xdr:col>35</xdr:col>
      <xdr:colOff>180975</xdr:colOff>
      <xdr:row>71</xdr:row>
      <xdr:rowOff>95250</xdr:rowOff>
    </xdr:to>
    <xdr:sp>
      <xdr:nvSpPr>
        <xdr:cNvPr id="338" name="Line 492"/>
        <xdr:cNvSpPr>
          <a:spLocks/>
        </xdr:cNvSpPr>
      </xdr:nvSpPr>
      <xdr:spPr>
        <a:xfrm>
          <a:off x="12877800" y="12630150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219075</xdr:colOff>
      <xdr:row>76</xdr:row>
      <xdr:rowOff>47625</xdr:rowOff>
    </xdr:from>
    <xdr:to>
      <xdr:col>35</xdr:col>
      <xdr:colOff>180975</xdr:colOff>
      <xdr:row>76</xdr:row>
      <xdr:rowOff>47625</xdr:rowOff>
    </xdr:to>
    <xdr:sp>
      <xdr:nvSpPr>
        <xdr:cNvPr id="339" name="Line 493"/>
        <xdr:cNvSpPr>
          <a:spLocks/>
        </xdr:cNvSpPr>
      </xdr:nvSpPr>
      <xdr:spPr>
        <a:xfrm>
          <a:off x="12877800" y="13525500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219075</xdr:colOff>
      <xdr:row>76</xdr:row>
      <xdr:rowOff>133350</xdr:rowOff>
    </xdr:from>
    <xdr:to>
      <xdr:col>35</xdr:col>
      <xdr:colOff>180975</xdr:colOff>
      <xdr:row>76</xdr:row>
      <xdr:rowOff>133350</xdr:rowOff>
    </xdr:to>
    <xdr:sp>
      <xdr:nvSpPr>
        <xdr:cNvPr id="340" name="Line 494"/>
        <xdr:cNvSpPr>
          <a:spLocks/>
        </xdr:cNvSpPr>
      </xdr:nvSpPr>
      <xdr:spPr>
        <a:xfrm>
          <a:off x="12877800" y="13611225"/>
          <a:ext cx="2438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209550</xdr:colOff>
      <xdr:row>73</xdr:row>
      <xdr:rowOff>123825</xdr:rowOff>
    </xdr:from>
    <xdr:to>
      <xdr:col>35</xdr:col>
      <xdr:colOff>171450</xdr:colOff>
      <xdr:row>73</xdr:row>
      <xdr:rowOff>123825</xdr:rowOff>
    </xdr:to>
    <xdr:sp>
      <xdr:nvSpPr>
        <xdr:cNvPr id="341" name="Line 495"/>
        <xdr:cNvSpPr>
          <a:spLocks/>
        </xdr:cNvSpPr>
      </xdr:nvSpPr>
      <xdr:spPr>
        <a:xfrm>
          <a:off x="12868275" y="13058775"/>
          <a:ext cx="2438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209550</xdr:colOff>
      <xdr:row>77</xdr:row>
      <xdr:rowOff>85725</xdr:rowOff>
    </xdr:from>
    <xdr:to>
      <xdr:col>35</xdr:col>
      <xdr:colOff>171450</xdr:colOff>
      <xdr:row>77</xdr:row>
      <xdr:rowOff>85725</xdr:rowOff>
    </xdr:to>
    <xdr:sp>
      <xdr:nvSpPr>
        <xdr:cNvPr id="342" name="Line 496"/>
        <xdr:cNvSpPr>
          <a:spLocks/>
        </xdr:cNvSpPr>
      </xdr:nvSpPr>
      <xdr:spPr>
        <a:xfrm>
          <a:off x="12868275" y="13754100"/>
          <a:ext cx="2438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25</xdr:col>
      <xdr:colOff>180975</xdr:colOff>
      <xdr:row>69</xdr:row>
      <xdr:rowOff>114300</xdr:rowOff>
    </xdr:from>
    <xdr:to>
      <xdr:col>35</xdr:col>
      <xdr:colOff>142875</xdr:colOff>
      <xdr:row>69</xdr:row>
      <xdr:rowOff>114300</xdr:rowOff>
    </xdr:to>
    <xdr:sp>
      <xdr:nvSpPr>
        <xdr:cNvPr id="343" name="Line 497"/>
        <xdr:cNvSpPr>
          <a:spLocks/>
        </xdr:cNvSpPr>
      </xdr:nvSpPr>
      <xdr:spPr>
        <a:xfrm>
          <a:off x="12839700" y="12306300"/>
          <a:ext cx="2438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CR122"/>
  <sheetViews>
    <sheetView showGridLines="0" view="pageBreakPreview" zoomScaleSheetLayoutView="100" workbookViewId="0" topLeftCell="A1">
      <selection activeCell="A17" sqref="A17"/>
    </sheetView>
  </sheetViews>
  <sheetFormatPr defaultColWidth="9.140625" defaultRowHeight="12.75"/>
  <cols>
    <col min="1" max="1" width="12.8515625" style="0" customWidth="1"/>
    <col min="2" max="2" width="18.8515625" style="0" bestFit="1" customWidth="1"/>
    <col min="3" max="3" width="6.28125" style="0" customWidth="1"/>
    <col min="4" max="4" width="6.421875" style="0" customWidth="1"/>
    <col min="5" max="5" width="11.00390625" style="0" bestFit="1" customWidth="1"/>
    <col min="6" max="6" width="3.28125" style="0" bestFit="1" customWidth="1"/>
    <col min="7" max="7" width="6.28125" style="0" customWidth="1"/>
    <col min="8" max="8" width="7.8515625" style="0" customWidth="1"/>
    <col min="9" max="9" width="7.57421875" style="0" bestFit="1" customWidth="1"/>
    <col min="10" max="10" width="5.57421875" style="0" bestFit="1" customWidth="1"/>
    <col min="11" max="11" width="5.8515625" style="0" bestFit="1" customWidth="1"/>
    <col min="12" max="12" width="5.421875" style="0" customWidth="1"/>
    <col min="13" max="13" width="6.57421875" style="0" customWidth="1"/>
    <col min="14" max="14" width="5.8515625" style="0" bestFit="1" customWidth="1"/>
    <col min="15" max="15" width="11.421875" style="0" customWidth="1"/>
    <col min="16" max="17" width="6.8515625" style="0" customWidth="1"/>
    <col min="18" max="18" width="7.421875" style="0" customWidth="1"/>
    <col min="19" max="20" width="6.8515625" style="0" customWidth="1"/>
    <col min="21" max="21" width="3.00390625" style="0" customWidth="1"/>
    <col min="22" max="35" width="2.28125" style="0" customWidth="1"/>
    <col min="36" max="36" width="3.140625" style="0" customWidth="1"/>
    <col min="37" max="46" width="2.28125" style="0" customWidth="1"/>
    <col min="47" max="47" width="2.421875" style="0" customWidth="1"/>
    <col min="48" max="48" width="2.57421875" style="0" customWidth="1"/>
    <col min="49" max="55" width="2.28125" style="0" customWidth="1"/>
    <col min="56" max="59" width="10.421875" style="0" customWidth="1"/>
    <col min="60" max="60" width="9.7109375" style="0" customWidth="1"/>
    <col min="61" max="61" width="6.140625" style="0" customWidth="1"/>
    <col min="62" max="62" width="7.8515625" style="0" bestFit="1" customWidth="1"/>
    <col min="63" max="80" width="2.28125" style="0" customWidth="1"/>
    <col min="81" max="81" width="7.28125" style="0" customWidth="1"/>
    <col min="82" max="88" width="11.8515625" style="0" customWidth="1"/>
    <col min="89" max="92" width="11.421875" style="0" customWidth="1"/>
    <col min="93" max="93" width="0" style="0" hidden="1" customWidth="1"/>
    <col min="94" max="94" width="17.00390625" style="0" hidden="1" customWidth="1"/>
    <col min="95" max="96" width="0" style="0" hidden="1" customWidth="1"/>
    <col min="97" max="16384" width="11.421875" style="0" customWidth="1"/>
  </cols>
  <sheetData>
    <row r="1" spans="5:96" ht="12.75">
      <c r="E1" s="424" t="s">
        <v>33</v>
      </c>
      <c r="F1" s="425"/>
      <c r="G1" s="425"/>
      <c r="H1" s="426"/>
      <c r="I1" s="424" t="s">
        <v>285</v>
      </c>
      <c r="J1" s="425"/>
      <c r="K1" s="425"/>
      <c r="L1" s="425"/>
      <c r="M1" s="425"/>
      <c r="N1" s="425"/>
      <c r="O1" s="426"/>
      <c r="BE1" s="114" t="s">
        <v>130</v>
      </c>
      <c r="CO1" s="15"/>
      <c r="CP1" s="16">
        <v>1</v>
      </c>
      <c r="CQ1" s="15"/>
      <c r="CR1" s="15"/>
    </row>
    <row r="2" spans="1:96" ht="14.25">
      <c r="A2" s="175" t="s">
        <v>38</v>
      </c>
      <c r="E2" s="26"/>
      <c r="F2" s="1"/>
      <c r="G2" s="1"/>
      <c r="H2" s="27"/>
      <c r="I2" s="85"/>
      <c r="J2" s="156"/>
      <c r="K2" s="156"/>
      <c r="L2" s="387" t="s">
        <v>88</v>
      </c>
      <c r="M2" s="388">
        <v>0.2</v>
      </c>
      <c r="N2" s="389" t="s">
        <v>1</v>
      </c>
      <c r="O2" s="33"/>
      <c r="BF2" s="1"/>
      <c r="BG2" s="162" t="s">
        <v>134</v>
      </c>
      <c r="CO2" s="15"/>
      <c r="CP2" s="16" t="s">
        <v>39</v>
      </c>
      <c r="CQ2" s="16" t="s">
        <v>52</v>
      </c>
      <c r="CR2" s="15"/>
    </row>
    <row r="3" spans="5:96" ht="14.25">
      <c r="E3" s="363" t="s">
        <v>0</v>
      </c>
      <c r="F3" s="18" t="s">
        <v>5</v>
      </c>
      <c r="G3" s="23">
        <v>4200</v>
      </c>
      <c r="H3" s="365" t="s">
        <v>8</v>
      </c>
      <c r="I3" s="363"/>
      <c r="J3" s="7"/>
      <c r="K3" s="7"/>
      <c r="L3" s="4" t="s">
        <v>89</v>
      </c>
      <c r="M3" s="361">
        <v>0.6</v>
      </c>
      <c r="N3" s="3" t="s">
        <v>1</v>
      </c>
      <c r="O3" s="27"/>
      <c r="T3" s="61" t="s">
        <v>87</v>
      </c>
      <c r="U3" s="69">
        <f>K81</f>
        <v>4</v>
      </c>
      <c r="AG3" s="427" t="s">
        <v>73</v>
      </c>
      <c r="AH3" s="427"/>
      <c r="AI3" s="427"/>
      <c r="AJ3" s="76">
        <f>K81</f>
        <v>4</v>
      </c>
      <c r="BH3" s="135"/>
      <c r="BI3" s="7"/>
      <c r="BJ3" s="7"/>
      <c r="BK3" s="7"/>
      <c r="BL3" s="7"/>
      <c r="BM3" s="1"/>
      <c r="BN3" s="1"/>
      <c r="BO3" s="1"/>
      <c r="BP3" s="1"/>
      <c r="CO3" s="15">
        <v>1</v>
      </c>
      <c r="CP3" s="16" t="s">
        <v>51</v>
      </c>
      <c r="CQ3" s="16">
        <v>0</v>
      </c>
      <c r="CR3" s="15"/>
    </row>
    <row r="4" spans="5:96" ht="14.25">
      <c r="E4" s="363" t="s">
        <v>10</v>
      </c>
      <c r="F4" s="18" t="s">
        <v>5</v>
      </c>
      <c r="G4" s="23">
        <v>300</v>
      </c>
      <c r="H4" s="365" t="s">
        <v>8</v>
      </c>
      <c r="I4" s="363"/>
      <c r="J4" s="7"/>
      <c r="K4" s="7"/>
      <c r="L4" s="4" t="s">
        <v>90</v>
      </c>
      <c r="M4" s="362">
        <f>G10-G9</f>
        <v>0.04999999999999999</v>
      </c>
      <c r="N4" s="3" t="s">
        <v>1</v>
      </c>
      <c r="O4" s="27"/>
      <c r="BE4" s="4" t="s">
        <v>131</v>
      </c>
      <c r="BF4" s="19" t="s">
        <v>132</v>
      </c>
      <c r="BG4" s="160">
        <f>((N5*100*(M5*100)^3)/12)/10000</f>
        <v>62.5</v>
      </c>
      <c r="BH4" s="3" t="s">
        <v>119</v>
      </c>
      <c r="BI4" s="136"/>
      <c r="BJ4" s="136"/>
      <c r="BK4" s="136"/>
      <c r="BL4" s="136"/>
      <c r="BM4" s="1"/>
      <c r="BN4" s="1"/>
      <c r="BO4" s="1"/>
      <c r="BP4" s="1"/>
      <c r="CO4" s="15">
        <v>2</v>
      </c>
      <c r="CP4" s="16" t="s">
        <v>48</v>
      </c>
      <c r="CQ4" s="16">
        <v>36</v>
      </c>
      <c r="CR4" s="15"/>
    </row>
    <row r="5" spans="5:96" ht="12.75">
      <c r="E5" s="366" t="s">
        <v>46</v>
      </c>
      <c r="F5" s="18" t="s">
        <v>5</v>
      </c>
      <c r="G5" s="23">
        <v>2400</v>
      </c>
      <c r="H5" s="365" t="s">
        <v>15</v>
      </c>
      <c r="I5" s="363"/>
      <c r="J5" s="1"/>
      <c r="K5" s="7"/>
      <c r="L5" s="390" t="s">
        <v>313</v>
      </c>
      <c r="M5" s="383">
        <v>0.5</v>
      </c>
      <c r="N5" s="385">
        <v>0.6</v>
      </c>
      <c r="O5" s="392">
        <f>3.8</f>
        <v>3.8</v>
      </c>
      <c r="Q5" s="30" t="s">
        <v>294</v>
      </c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9"/>
      <c r="BF5" s="1"/>
      <c r="BH5" s="137"/>
      <c r="BI5" s="7"/>
      <c r="BJ5" s="7"/>
      <c r="BK5" s="7"/>
      <c r="BL5" s="7"/>
      <c r="BM5" s="137"/>
      <c r="BN5" s="1"/>
      <c r="BO5" s="1"/>
      <c r="BP5" s="1"/>
      <c r="CO5" s="15">
        <v>3</v>
      </c>
      <c r="CP5" s="16" t="s">
        <v>49</v>
      </c>
      <c r="CQ5" s="16">
        <v>66</v>
      </c>
      <c r="CR5" s="15"/>
    </row>
    <row r="6" spans="5:96" ht="12.75">
      <c r="E6" s="367" t="s">
        <v>57</v>
      </c>
      <c r="F6" s="368" t="s">
        <v>5</v>
      </c>
      <c r="G6" s="41">
        <v>2200</v>
      </c>
      <c r="H6" s="369" t="s">
        <v>15</v>
      </c>
      <c r="I6" s="364"/>
      <c r="J6" s="5"/>
      <c r="K6" s="69"/>
      <c r="L6" s="391" t="s">
        <v>314</v>
      </c>
      <c r="M6" s="384">
        <v>0.5</v>
      </c>
      <c r="N6" s="386">
        <v>0.6</v>
      </c>
      <c r="O6" s="393">
        <v>3.8</v>
      </c>
      <c r="V6" s="26"/>
      <c r="AI6" s="435">
        <f>H81</f>
        <v>560</v>
      </c>
      <c r="AJ6" s="435"/>
      <c r="AK6" s="435"/>
      <c r="AX6" s="27"/>
      <c r="BE6" s="19" t="s">
        <v>18</v>
      </c>
      <c r="BF6" s="4" t="s">
        <v>133</v>
      </c>
      <c r="BG6" s="31">
        <f>4*BG4</f>
        <v>250</v>
      </c>
      <c r="BH6" s="159" t="s">
        <v>5</v>
      </c>
      <c r="BI6" s="163">
        <f>BG6/BG7</f>
        <v>0.6578947368421053</v>
      </c>
      <c r="BJ6" s="3" t="s">
        <v>119</v>
      </c>
      <c r="BK6" s="135"/>
      <c r="BL6" s="135"/>
      <c r="BM6" s="135"/>
      <c r="BN6" s="1"/>
      <c r="BO6" s="1"/>
      <c r="BP6" s="1"/>
      <c r="CO6" s="15">
        <v>4</v>
      </c>
      <c r="CP6" s="16" t="s">
        <v>50</v>
      </c>
      <c r="CQ6" s="16">
        <v>81</v>
      </c>
      <c r="CR6" s="15"/>
    </row>
    <row r="7" spans="1:96" ht="12.75">
      <c r="A7" s="345" t="s">
        <v>61</v>
      </c>
      <c r="B7" s="1"/>
      <c r="I7" s="2"/>
      <c r="J7" s="2"/>
      <c r="V7" s="26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329">
        <f>T12+T11</f>
        <v>560</v>
      </c>
      <c r="AK7" s="500" t="str">
        <f>IF(AJ7&lt;=AI6,"ok","error")</f>
        <v>ok</v>
      </c>
      <c r="AL7" s="501"/>
      <c r="AM7" s="327" t="s">
        <v>268</v>
      </c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93"/>
      <c r="BA7" s="439">
        <f>AY10+AY9/2</f>
        <v>42.5</v>
      </c>
      <c r="BB7" s="440">
        <f>AY10/2</f>
        <v>20</v>
      </c>
      <c r="BF7" s="1"/>
      <c r="BG7" s="7">
        <f>AV72*100</f>
        <v>380</v>
      </c>
      <c r="BH7" s="7"/>
      <c r="BI7" s="7"/>
      <c r="BJ7" s="7"/>
      <c r="BK7" s="1"/>
      <c r="BL7" s="1"/>
      <c r="BM7" s="7"/>
      <c r="BN7" s="7"/>
      <c r="BO7" s="1"/>
      <c r="BP7" s="1"/>
      <c r="CO7" s="15"/>
      <c r="CP7" s="15"/>
      <c r="CQ7" s="15"/>
      <c r="CR7" s="15"/>
    </row>
    <row r="8" spans="3:96" ht="14.25">
      <c r="C8" s="16" t="s">
        <v>43</v>
      </c>
      <c r="E8" s="16" t="s">
        <v>44</v>
      </c>
      <c r="G8" s="15" t="s">
        <v>45</v>
      </c>
      <c r="I8" s="16" t="s">
        <v>286</v>
      </c>
      <c r="J8" s="2"/>
      <c r="K8" s="2"/>
      <c r="L8" s="463" t="s">
        <v>74</v>
      </c>
      <c r="M8" s="464"/>
      <c r="N8" s="464"/>
      <c r="O8" s="465"/>
      <c r="BA8" s="439"/>
      <c r="BB8" s="440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CO8" s="15"/>
      <c r="CP8" s="15"/>
      <c r="CQ8" s="15"/>
      <c r="CR8" s="15"/>
    </row>
    <row r="9" spans="2:96" ht="14.25">
      <c r="B9" s="65" t="s">
        <v>40</v>
      </c>
      <c r="C9" s="347">
        <f>M3</f>
        <v>0.6</v>
      </c>
      <c r="D9" s="349" t="s">
        <v>19</v>
      </c>
      <c r="E9" s="347">
        <f>M3</f>
        <v>0.6</v>
      </c>
      <c r="F9" s="349" t="s">
        <v>19</v>
      </c>
      <c r="G9" s="348">
        <v>0.4</v>
      </c>
      <c r="H9" s="63" t="s">
        <v>5</v>
      </c>
      <c r="I9" s="222">
        <f>C9*E9*G9</f>
        <v>0.144</v>
      </c>
      <c r="J9" s="2" t="s">
        <v>16</v>
      </c>
      <c r="K9" s="2"/>
      <c r="L9" s="346">
        <f>G10-0.05</f>
        <v>0.4</v>
      </c>
      <c r="M9" s="422" t="s">
        <v>39</v>
      </c>
      <c r="N9" s="422"/>
      <c r="O9" s="422"/>
      <c r="V9" s="30"/>
      <c r="W9" s="7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79"/>
      <c r="AY9" s="83">
        <f>M4*100</f>
        <v>4.999999999999999</v>
      </c>
      <c r="BE9" s="19" t="s">
        <v>136</v>
      </c>
      <c r="BF9" s="2" t="s">
        <v>137</v>
      </c>
      <c r="BG9" s="165">
        <f>BI6*0.5</f>
        <v>0.32894736842105265</v>
      </c>
      <c r="BH9" s="3" t="s">
        <v>119</v>
      </c>
      <c r="BK9" s="1"/>
      <c r="BL9" s="1"/>
      <c r="BM9" s="1"/>
      <c r="BN9" s="1"/>
      <c r="BO9" s="1"/>
      <c r="BP9" s="1"/>
      <c r="CO9" s="15"/>
      <c r="CP9" s="15"/>
      <c r="CQ9" s="15"/>
      <c r="CR9" s="15"/>
    </row>
    <row r="10" spans="2:96" ht="14.25">
      <c r="B10" s="65" t="s">
        <v>42</v>
      </c>
      <c r="C10" s="347">
        <f>M3+M2</f>
        <v>0.8</v>
      </c>
      <c r="D10" s="350" t="s">
        <v>19</v>
      </c>
      <c r="E10" s="347">
        <f>M3+M2</f>
        <v>0.8</v>
      </c>
      <c r="F10" s="349" t="s">
        <v>19</v>
      </c>
      <c r="G10" s="348">
        <v>0.45</v>
      </c>
      <c r="H10" s="63" t="s">
        <v>5</v>
      </c>
      <c r="I10" s="222">
        <f>C10*E10*G10</f>
        <v>0.2880000000000001</v>
      </c>
      <c r="J10" s="2" t="s">
        <v>16</v>
      </c>
      <c r="K10" s="2"/>
      <c r="L10" s="346">
        <f>J36/100</f>
        <v>0.27433167496151145</v>
      </c>
      <c r="M10" s="422" t="s">
        <v>75</v>
      </c>
      <c r="N10" s="422"/>
      <c r="O10" s="422"/>
      <c r="X10" s="322" t="s">
        <v>245</v>
      </c>
      <c r="Y10" s="323"/>
      <c r="Z10" s="324"/>
      <c r="AA10" s="325" t="s">
        <v>244</v>
      </c>
      <c r="AB10" s="323"/>
      <c r="AC10" s="324"/>
      <c r="AD10" s="325" t="s">
        <v>243</v>
      </c>
      <c r="AE10" s="323"/>
      <c r="AF10" s="324"/>
      <c r="AG10" s="325" t="s">
        <v>242</v>
      </c>
      <c r="AH10" s="323"/>
      <c r="AI10" s="324"/>
      <c r="AJ10" s="325" t="s">
        <v>241</v>
      </c>
      <c r="AK10" s="323"/>
      <c r="AL10" s="324"/>
      <c r="AM10" s="325" t="s">
        <v>242</v>
      </c>
      <c r="AN10" s="323"/>
      <c r="AO10" s="324"/>
      <c r="AP10" s="325" t="s">
        <v>243</v>
      </c>
      <c r="AQ10" s="323"/>
      <c r="AR10" s="324"/>
      <c r="AS10" s="325" t="s">
        <v>244</v>
      </c>
      <c r="AT10" s="323"/>
      <c r="AU10" s="324"/>
      <c r="AV10" s="325" t="s">
        <v>245</v>
      </c>
      <c r="AW10" s="85"/>
      <c r="AX10" s="28"/>
      <c r="AY10" s="405">
        <f>G9*100</f>
        <v>40</v>
      </c>
      <c r="AZ10" s="405"/>
      <c r="BK10" s="466"/>
      <c r="BL10" s="466"/>
      <c r="BM10" s="466"/>
      <c r="BN10" s="466"/>
      <c r="BO10" s="466"/>
      <c r="BP10" s="466"/>
      <c r="CO10" s="15"/>
      <c r="CP10" s="15"/>
      <c r="CQ10" s="15"/>
      <c r="CR10" s="15"/>
    </row>
    <row r="11" spans="2:96" ht="12.75">
      <c r="B11" s="65" t="s">
        <v>41</v>
      </c>
      <c r="C11" s="51"/>
      <c r="D11" s="52"/>
      <c r="E11" s="51"/>
      <c r="F11" s="52"/>
      <c r="G11" s="53"/>
      <c r="H11" s="40"/>
      <c r="I11" s="222">
        <f>I10-I9</f>
        <v>0.1440000000000001</v>
      </c>
      <c r="J11" s="2" t="s">
        <v>16</v>
      </c>
      <c r="K11" s="2"/>
      <c r="L11" s="2"/>
      <c r="M11" s="2"/>
      <c r="N11" s="2"/>
      <c r="S11" s="19" t="s">
        <v>266</v>
      </c>
      <c r="T11" s="231">
        <f>SUM(X11:AV11)</f>
        <v>120</v>
      </c>
      <c r="X11" s="92">
        <v>0</v>
      </c>
      <c r="AA11" s="372">
        <v>15</v>
      </c>
      <c r="AD11" s="91">
        <v>15</v>
      </c>
      <c r="AG11" s="91">
        <v>15</v>
      </c>
      <c r="AH11" s="91"/>
      <c r="AI11" s="91"/>
      <c r="AJ11" s="91">
        <v>30</v>
      </c>
      <c r="AK11" s="91"/>
      <c r="AL11" s="91"/>
      <c r="AM11" s="91">
        <v>15</v>
      </c>
      <c r="AN11" s="91"/>
      <c r="AO11" s="91"/>
      <c r="AP11" s="91">
        <v>15</v>
      </c>
      <c r="AQ11" s="91"/>
      <c r="AR11" s="91"/>
      <c r="AS11" s="91">
        <v>15</v>
      </c>
      <c r="AT11" s="91"/>
      <c r="AU11" s="91"/>
      <c r="AV11" s="91">
        <v>0</v>
      </c>
      <c r="AW11" s="39"/>
      <c r="AX11" s="80"/>
      <c r="BK11" s="138"/>
      <c r="BL11" s="138"/>
      <c r="BM11" s="138"/>
      <c r="BN11" s="138"/>
      <c r="BO11" s="138"/>
      <c r="BP11" s="137"/>
      <c r="CO11" s="15"/>
      <c r="CP11" s="15"/>
      <c r="CQ11" s="15"/>
      <c r="CR11" s="15"/>
    </row>
    <row r="12" spans="11:96" ht="12.75">
      <c r="K12" s="2"/>
      <c r="L12" s="16">
        <f>G10*100-G36</f>
        <v>42</v>
      </c>
      <c r="M12" s="422" t="s">
        <v>246</v>
      </c>
      <c r="N12" s="422"/>
      <c r="O12" s="422"/>
      <c r="S12" s="19" t="s">
        <v>267</v>
      </c>
      <c r="T12" s="231">
        <f>SUM(V12:AX12)</f>
        <v>440</v>
      </c>
      <c r="V12" s="443">
        <f>AW12</f>
        <v>0</v>
      </c>
      <c r="W12" s="445"/>
      <c r="Y12" s="438">
        <v>40</v>
      </c>
      <c r="Z12" s="438"/>
      <c r="AB12" s="438">
        <v>60</v>
      </c>
      <c r="AC12" s="438"/>
      <c r="AE12" s="438">
        <v>60</v>
      </c>
      <c r="AF12" s="438"/>
      <c r="AH12" s="438">
        <v>60</v>
      </c>
      <c r="AI12" s="438"/>
      <c r="AK12" s="438">
        <v>60</v>
      </c>
      <c r="AL12" s="438"/>
      <c r="AN12" s="438">
        <v>60</v>
      </c>
      <c r="AO12" s="438"/>
      <c r="AQ12" s="438">
        <v>60</v>
      </c>
      <c r="AR12" s="438"/>
      <c r="AT12" s="438">
        <v>40</v>
      </c>
      <c r="AU12" s="438"/>
      <c r="AW12" s="443">
        <f>CP17/2</f>
        <v>0</v>
      </c>
      <c r="AX12" s="444"/>
      <c r="BF12" s="1"/>
      <c r="BG12" s="162" t="s">
        <v>135</v>
      </c>
      <c r="BH12" s="1"/>
      <c r="BI12" s="1"/>
      <c r="BJ12" s="1"/>
      <c r="BK12" s="139"/>
      <c r="BL12" s="139"/>
      <c r="BM12" s="139"/>
      <c r="BN12" s="139"/>
      <c r="BO12" s="139"/>
      <c r="BP12" s="139"/>
      <c r="CO12" s="15"/>
      <c r="CP12" s="15"/>
      <c r="CQ12" s="15"/>
      <c r="CR12" s="15"/>
    </row>
    <row r="13" spans="2:96" ht="14.25">
      <c r="B13" s="65" t="s">
        <v>55</v>
      </c>
      <c r="C13" s="55"/>
      <c r="D13" s="349"/>
      <c r="E13" s="356">
        <f>G5</f>
        <v>2400</v>
      </c>
      <c r="F13" s="349" t="s">
        <v>19</v>
      </c>
      <c r="G13" s="222">
        <f>I11</f>
        <v>0.1440000000000001</v>
      </c>
      <c r="H13" s="63" t="s">
        <v>5</v>
      </c>
      <c r="I13" s="66">
        <f>(I11*G5)/(C10*E10)</f>
        <v>540.0000000000003</v>
      </c>
      <c r="J13" s="2" t="s">
        <v>13</v>
      </c>
      <c r="K13" s="2"/>
      <c r="L13" s="16">
        <f>C85-G36</f>
        <v>57</v>
      </c>
      <c r="M13" s="422" t="s">
        <v>247</v>
      </c>
      <c r="N13" s="422"/>
      <c r="O13" s="422"/>
      <c r="T13" s="85"/>
      <c r="U13" s="28"/>
      <c r="V13" s="28"/>
      <c r="W13" s="28"/>
      <c r="X13" s="295">
        <f>Y13+X11</f>
        <v>280</v>
      </c>
      <c r="Y13" s="499">
        <f>AA13+Y12</f>
        <v>280</v>
      </c>
      <c r="Z13" s="499"/>
      <c r="AA13" s="295">
        <f>AB13+AA11</f>
        <v>240</v>
      </c>
      <c r="AB13" s="446">
        <f>AD13+AB12</f>
        <v>225</v>
      </c>
      <c r="AC13" s="446"/>
      <c r="AD13" s="296">
        <f>AE13+AD11</f>
        <v>165</v>
      </c>
      <c r="AE13" s="446">
        <f>AG13+AE12</f>
        <v>150</v>
      </c>
      <c r="AF13" s="446"/>
      <c r="AG13" s="296">
        <f>AH13+AG11</f>
        <v>90</v>
      </c>
      <c r="AH13" s="446">
        <f>AJ11/2+AH12</f>
        <v>75</v>
      </c>
      <c r="AI13" s="446"/>
      <c r="AJ13" s="296">
        <f>AK11/2+AI12</f>
        <v>0</v>
      </c>
      <c r="AK13" s="446">
        <f>AJ11/2+AK12</f>
        <v>75</v>
      </c>
      <c r="AL13" s="446"/>
      <c r="AM13" s="296">
        <f>AK13+AM11</f>
        <v>90</v>
      </c>
      <c r="AN13" s="446">
        <f>AM13+AN12</f>
        <v>150</v>
      </c>
      <c r="AO13" s="446"/>
      <c r="AP13" s="296">
        <f>AN13+AP11</f>
        <v>165</v>
      </c>
      <c r="AQ13" s="446">
        <f>AP13+AQ12</f>
        <v>225</v>
      </c>
      <c r="AR13" s="446"/>
      <c r="AS13" s="296">
        <f>AQ13+AS11</f>
        <v>240</v>
      </c>
      <c r="AT13" s="446">
        <f>AS13+AT12</f>
        <v>280</v>
      </c>
      <c r="AU13" s="446"/>
      <c r="AV13" s="296">
        <f>AT13+AV11</f>
        <v>280</v>
      </c>
      <c r="AW13" s="28"/>
      <c r="AX13" s="28"/>
      <c r="AY13" s="28"/>
      <c r="AZ13" s="33"/>
      <c r="BF13" s="138"/>
      <c r="BG13" s="466"/>
      <c r="BH13" s="466"/>
      <c r="BI13" s="466"/>
      <c r="BJ13" s="466"/>
      <c r="BK13" s="139"/>
      <c r="BL13" s="139"/>
      <c r="BM13" s="139"/>
      <c r="BN13" s="139"/>
      <c r="BO13" s="139"/>
      <c r="BP13" s="139"/>
      <c r="CO13" s="15"/>
      <c r="CP13" s="15"/>
      <c r="CQ13" s="15"/>
      <c r="CR13" s="15"/>
    </row>
    <row r="14" spans="2:96" ht="14.25">
      <c r="B14" s="65" t="s">
        <v>47</v>
      </c>
      <c r="C14" s="57"/>
      <c r="D14" s="52"/>
      <c r="E14" s="56"/>
      <c r="F14" s="52"/>
      <c r="G14" s="53"/>
      <c r="H14" s="63" t="s">
        <v>5</v>
      </c>
      <c r="I14" s="66">
        <f>VLOOKUP(CP1,CO3:CQ7,3,1)</f>
        <v>0</v>
      </c>
      <c r="J14" s="2" t="s">
        <v>13</v>
      </c>
      <c r="K14" s="2"/>
      <c r="L14" s="2"/>
      <c r="M14" s="2"/>
      <c r="N14" s="2"/>
      <c r="T14" s="26"/>
      <c r="U14" s="1"/>
      <c r="V14" s="297"/>
      <c r="W14" s="297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4" t="s">
        <v>231</v>
      </c>
      <c r="AI14" s="416">
        <f>'ACERO DE REFUERZO'!H4</f>
        <v>280</v>
      </c>
      <c r="AJ14" s="416"/>
      <c r="AK14" s="416"/>
      <c r="AL14" s="1" t="s">
        <v>264</v>
      </c>
      <c r="AM14" s="1"/>
      <c r="AN14" s="460">
        <f>AI14/2</f>
        <v>140</v>
      </c>
      <c r="AO14" s="460"/>
      <c r="AP14" s="1" t="s">
        <v>232</v>
      </c>
      <c r="AQ14" s="1"/>
      <c r="AR14" s="209"/>
      <c r="AS14" s="209"/>
      <c r="AT14" s="209"/>
      <c r="AU14" s="1"/>
      <c r="AV14" s="298">
        <f>IF(AJ13&lt;=AN14,AJ11/2,0)</f>
        <v>15</v>
      </c>
      <c r="AW14" s="294">
        <f>IF(AG13&lt;=AN14,AG11,0)</f>
        <v>15</v>
      </c>
      <c r="AX14" s="294">
        <f>IF(AD13&lt;=AN14,AD11,0)</f>
        <v>0</v>
      </c>
      <c r="AY14" s="294">
        <f>IF(AA13&lt;=AN14,AA11,0)</f>
        <v>0</v>
      </c>
      <c r="AZ14" s="299">
        <f>IF(X13&lt;=AN14,X11,0)</f>
        <v>0</v>
      </c>
      <c r="BA14" s="293"/>
      <c r="BB14" s="293"/>
      <c r="BC14" s="293"/>
      <c r="BE14" s="4" t="s">
        <v>131</v>
      </c>
      <c r="BF14" s="19" t="s">
        <v>132</v>
      </c>
      <c r="BG14" s="160">
        <f>((N6*100*(M6*100)^3)/12)/10000</f>
        <v>62.5</v>
      </c>
      <c r="BH14" s="3" t="s">
        <v>119</v>
      </c>
      <c r="BI14" s="138"/>
      <c r="BJ14" s="138"/>
      <c r="BK14" s="139"/>
      <c r="BL14" s="139"/>
      <c r="BM14" s="139"/>
      <c r="BN14" s="139"/>
      <c r="BO14" s="139"/>
      <c r="BP14" s="139"/>
      <c r="CO14" s="15"/>
      <c r="CP14" s="15"/>
      <c r="CQ14" s="15"/>
      <c r="CR14" s="15"/>
    </row>
    <row r="15" spans="2:96" ht="14.25">
      <c r="B15" s="19"/>
      <c r="C15" s="57"/>
      <c r="D15" s="52"/>
      <c r="E15" s="56"/>
      <c r="F15" s="52"/>
      <c r="G15" s="53"/>
      <c r="H15" s="63"/>
      <c r="I15" s="54"/>
      <c r="J15" s="2"/>
      <c r="K15" s="2"/>
      <c r="L15" s="2"/>
      <c r="M15" s="2"/>
      <c r="N15" s="2"/>
      <c r="T15" s="32"/>
      <c r="U15" s="5"/>
      <c r="V15" s="300"/>
      <c r="W15" s="300"/>
      <c r="X15" s="301"/>
      <c r="Y15" s="301"/>
      <c r="Z15" s="301"/>
      <c r="AA15" s="301"/>
      <c r="AB15" s="300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 t="s">
        <v>20</v>
      </c>
      <c r="AN15" s="425">
        <f>AN14</f>
        <v>140</v>
      </c>
      <c r="AO15" s="425"/>
      <c r="AP15" s="5" t="s">
        <v>233</v>
      </c>
      <c r="AQ15" s="5"/>
      <c r="AR15" s="5"/>
      <c r="AS15" s="5"/>
      <c r="AT15" s="5"/>
      <c r="AU15" s="5"/>
      <c r="AV15" s="302">
        <f>IF(AJ13&lt;=$AN$15,AJ11/2,0)</f>
        <v>15</v>
      </c>
      <c r="AW15" s="302">
        <f>IF(AM13&lt;=$AN$15,AM11,0)</f>
        <v>15</v>
      </c>
      <c r="AX15" s="302">
        <f>IF(AP13&lt;=$AN$15,AP11,0)</f>
        <v>0</v>
      </c>
      <c r="AY15" s="302">
        <f>IF(AS13&lt;=$AN$15,AS11,0)</f>
        <v>0</v>
      </c>
      <c r="AZ15" s="303">
        <f>IF(AV13&lt;=$AN$15,AV11,0)</f>
        <v>0</v>
      </c>
      <c r="BA15" s="91"/>
      <c r="BB15" s="91"/>
      <c r="BC15" s="190"/>
      <c r="BE15" s="4"/>
      <c r="BF15" s="19"/>
      <c r="BG15" s="160"/>
      <c r="BH15" s="3"/>
      <c r="BI15" s="138"/>
      <c r="BJ15" s="138"/>
      <c r="BK15" s="139"/>
      <c r="BL15" s="139"/>
      <c r="BM15" s="139"/>
      <c r="BN15" s="139"/>
      <c r="BO15" s="139"/>
      <c r="BP15" s="139"/>
      <c r="CO15" s="15"/>
      <c r="CP15" s="15"/>
      <c r="CQ15" s="15"/>
      <c r="CR15" s="15"/>
    </row>
    <row r="16" spans="2:96" ht="14.25">
      <c r="B16" s="19"/>
      <c r="C16" s="57"/>
      <c r="D16" s="52"/>
      <c r="E16" s="56"/>
      <c r="F16" s="52"/>
      <c r="G16" s="53"/>
      <c r="H16" s="63"/>
      <c r="I16" s="54"/>
      <c r="J16" s="2"/>
      <c r="K16" s="2"/>
      <c r="L16" s="2"/>
      <c r="M16" s="2"/>
      <c r="N16" s="2"/>
      <c r="T16" s="30"/>
      <c r="U16" s="77"/>
      <c r="V16" s="330"/>
      <c r="W16" s="330"/>
      <c r="X16" s="331"/>
      <c r="Y16" s="331"/>
      <c r="Z16" s="331"/>
      <c r="AA16" s="331"/>
      <c r="AB16" s="330"/>
      <c r="AC16" s="77"/>
      <c r="AD16" s="77"/>
      <c r="AE16" s="77"/>
      <c r="AF16" s="77"/>
      <c r="AG16" s="77"/>
      <c r="AH16" s="332" t="s">
        <v>256</v>
      </c>
      <c r="AI16" s="425">
        <f>'ACERO DE REFUERZO'!H121</f>
        <v>140</v>
      </c>
      <c r="AJ16" s="425"/>
      <c r="AK16" s="425"/>
      <c r="AL16" s="77" t="s">
        <v>265</v>
      </c>
      <c r="AM16" s="77"/>
      <c r="AN16" s="34"/>
      <c r="AO16" s="34"/>
      <c r="AP16" s="425">
        <f>AN14</f>
        <v>140</v>
      </c>
      <c r="AQ16" s="425"/>
      <c r="AR16" s="77" t="s">
        <v>20</v>
      </c>
      <c r="AS16" s="425">
        <f>AI16+AN14</f>
        <v>280</v>
      </c>
      <c r="AT16" s="425"/>
      <c r="AU16" s="77"/>
      <c r="AV16" s="333">
        <f>IF(AJ13&gt;AP16,AJ11,0)</f>
        <v>0</v>
      </c>
      <c r="AW16" s="334">
        <f>IF(AM13&gt;AP16,AM11,0)</f>
        <v>0</v>
      </c>
      <c r="AX16" s="334">
        <f>IF(AP13&gt;AP16,AP11,0)</f>
        <v>15</v>
      </c>
      <c r="AY16" s="334">
        <f>IF(AS13&gt;AP16,AS11,0)</f>
        <v>15</v>
      </c>
      <c r="AZ16" s="335">
        <f>IF(AV13&gt;AP16,AV11,0)</f>
        <v>0</v>
      </c>
      <c r="BA16" s="91"/>
      <c r="BB16" s="91"/>
      <c r="BC16" s="190"/>
      <c r="BE16" s="4"/>
      <c r="BF16" s="19"/>
      <c r="BG16" s="160"/>
      <c r="BH16" s="3"/>
      <c r="BI16" s="138"/>
      <c r="BJ16" s="138"/>
      <c r="BK16" s="139"/>
      <c r="BL16" s="139"/>
      <c r="BM16" s="139"/>
      <c r="BN16" s="139"/>
      <c r="BO16" s="139"/>
      <c r="BP16" s="139"/>
      <c r="CO16" s="15"/>
      <c r="CP16" s="15"/>
      <c r="CQ16" s="15"/>
      <c r="CR16" s="15"/>
    </row>
    <row r="17" spans="2:96" ht="14.25">
      <c r="B17" s="65" t="s">
        <v>53</v>
      </c>
      <c r="E17" s="356">
        <f>G6</f>
        <v>2200</v>
      </c>
      <c r="F17" s="349" t="s">
        <v>19</v>
      </c>
      <c r="G17" s="35">
        <v>0</v>
      </c>
      <c r="H17" s="63" t="s">
        <v>5</v>
      </c>
      <c r="I17" s="351">
        <f>G17*G6</f>
        <v>0</v>
      </c>
      <c r="J17" s="2" t="s">
        <v>13</v>
      </c>
      <c r="K17" s="2"/>
      <c r="L17" s="2"/>
      <c r="M17" s="2"/>
      <c r="N17" s="2"/>
      <c r="AI17" s="498"/>
      <c r="AJ17" s="498"/>
      <c r="AK17" s="498"/>
      <c r="BF17" s="138"/>
      <c r="BG17" s="139"/>
      <c r="BH17" s="139"/>
      <c r="BI17" s="139"/>
      <c r="BJ17" s="139"/>
      <c r="BK17" s="140"/>
      <c r="BL17" s="140"/>
      <c r="BM17" s="140"/>
      <c r="BN17" s="140"/>
      <c r="BO17" s="140"/>
      <c r="BP17" s="140"/>
      <c r="CO17" s="15"/>
      <c r="CP17" s="411">
        <f>ABS(X11+Y12+AA11+AB12+AD11+AE12+AG11+AH12+AJ11+AK12+AM11+AN12+AP11+AQ12+AS11+AT12+AV11-AI6)</f>
        <v>0</v>
      </c>
      <c r="CQ17" s="411"/>
      <c r="CR17" s="15"/>
    </row>
    <row r="18" spans="2:96" ht="14.25">
      <c r="B18" s="65" t="s">
        <v>54</v>
      </c>
      <c r="C18" s="57"/>
      <c r="D18" s="52"/>
      <c r="E18" s="56"/>
      <c r="F18" s="52"/>
      <c r="G18" s="352">
        <v>20</v>
      </c>
      <c r="H18" s="63" t="s">
        <v>5</v>
      </c>
      <c r="I18" s="66">
        <f>G18</f>
        <v>20</v>
      </c>
      <c r="J18" s="2" t="s">
        <v>13</v>
      </c>
      <c r="K18" s="2"/>
      <c r="L18" s="2"/>
      <c r="M18" s="2"/>
      <c r="N18" s="2"/>
      <c r="Q18" s="114" t="s">
        <v>95</v>
      </c>
      <c r="AN18" s="424" t="s">
        <v>96</v>
      </c>
      <c r="AO18" s="425"/>
      <c r="AP18" s="425"/>
      <c r="AQ18" s="425"/>
      <c r="AR18" s="425"/>
      <c r="AS18" s="425"/>
      <c r="AT18" s="425"/>
      <c r="AU18" s="425"/>
      <c r="AV18" s="425"/>
      <c r="AW18" s="426"/>
      <c r="BE18" s="19" t="s">
        <v>18</v>
      </c>
      <c r="BF18" s="4" t="s">
        <v>133</v>
      </c>
      <c r="BG18" s="161">
        <f>4*BG14</f>
        <v>250</v>
      </c>
      <c r="BH18" s="159" t="s">
        <v>5</v>
      </c>
      <c r="BI18" s="164">
        <f>BG18/BG19</f>
        <v>0.6578947368421053</v>
      </c>
      <c r="BJ18" s="3" t="s">
        <v>119</v>
      </c>
      <c r="BK18" s="157"/>
      <c r="BL18" s="157"/>
      <c r="BM18" s="157"/>
      <c r="BN18" s="157"/>
      <c r="BO18" s="157"/>
      <c r="BP18" s="157"/>
      <c r="CO18" s="15"/>
      <c r="CP18" s="15"/>
      <c r="CQ18" s="15"/>
      <c r="CR18" s="15"/>
    </row>
    <row r="19" spans="2:96" ht="14.25">
      <c r="B19" s="65" t="s">
        <v>56</v>
      </c>
      <c r="C19" s="57"/>
      <c r="D19" s="52"/>
      <c r="E19" s="356">
        <f>G6</f>
        <v>2200</v>
      </c>
      <c r="F19" s="349" t="s">
        <v>19</v>
      </c>
      <c r="G19" s="357">
        <v>0</v>
      </c>
      <c r="H19" s="63" t="s">
        <v>5</v>
      </c>
      <c r="I19" s="353">
        <f>G19*G6</f>
        <v>0</v>
      </c>
      <c r="J19" s="2" t="s">
        <v>13</v>
      </c>
      <c r="K19" s="2"/>
      <c r="L19" s="2"/>
      <c r="M19" s="2"/>
      <c r="N19" s="2"/>
      <c r="Q19" s="15" t="s">
        <v>91</v>
      </c>
      <c r="R19" s="16" t="s">
        <v>98</v>
      </c>
      <c r="S19" s="16" t="s">
        <v>99</v>
      </c>
      <c r="T19" s="16" t="s">
        <v>100</v>
      </c>
      <c r="U19" s="422" t="s">
        <v>93</v>
      </c>
      <c r="V19" s="422"/>
      <c r="W19" s="424" t="s">
        <v>97</v>
      </c>
      <c r="X19" s="425"/>
      <c r="Y19" s="425"/>
      <c r="Z19" s="425"/>
      <c r="AA19" s="425"/>
      <c r="AB19" s="426"/>
      <c r="AC19" s="422" t="s">
        <v>94</v>
      </c>
      <c r="AD19" s="422"/>
      <c r="AE19" s="441" t="s">
        <v>157</v>
      </c>
      <c r="AF19" s="441"/>
      <c r="AG19" s="441"/>
      <c r="AH19" s="442" t="s">
        <v>102</v>
      </c>
      <c r="AI19" s="442"/>
      <c r="AJ19" s="442"/>
      <c r="AK19" s="413" t="s">
        <v>101</v>
      </c>
      <c r="AL19" s="413"/>
      <c r="AM19" s="413"/>
      <c r="AN19" s="422" t="s">
        <v>114</v>
      </c>
      <c r="AO19" s="422"/>
      <c r="AP19" s="422"/>
      <c r="AQ19" s="422"/>
      <c r="AR19" s="422"/>
      <c r="AS19" s="422" t="s">
        <v>115</v>
      </c>
      <c r="AT19" s="422"/>
      <c r="AU19" s="422"/>
      <c r="AV19" s="422"/>
      <c r="AW19" s="422"/>
      <c r="BF19" s="138"/>
      <c r="BG19" s="158">
        <f>AV69*100</f>
        <v>380</v>
      </c>
      <c r="BH19" s="139"/>
      <c r="BI19" s="139"/>
      <c r="BJ19" s="139"/>
      <c r="BK19" s="158"/>
      <c r="BL19" s="158"/>
      <c r="BM19" s="158"/>
      <c r="BN19" s="158"/>
      <c r="BO19" s="158"/>
      <c r="BP19" s="158"/>
      <c r="CO19" s="15"/>
      <c r="CP19" s="15"/>
      <c r="CQ19" s="15"/>
      <c r="CR19" s="15"/>
    </row>
    <row r="20" spans="2:96" ht="14.25">
      <c r="B20" s="65" t="s">
        <v>58</v>
      </c>
      <c r="C20" s="57"/>
      <c r="D20" s="52"/>
      <c r="E20" s="56"/>
      <c r="F20" s="52"/>
      <c r="G20" s="352">
        <v>10</v>
      </c>
      <c r="H20" s="63" t="s">
        <v>5</v>
      </c>
      <c r="I20" s="66">
        <f>G20</f>
        <v>10</v>
      </c>
      <c r="J20" s="2" t="s">
        <v>13</v>
      </c>
      <c r="K20" s="2"/>
      <c r="L20" s="2"/>
      <c r="M20" s="2"/>
      <c r="N20" s="2"/>
      <c r="Q20" s="16" t="s">
        <v>76</v>
      </c>
      <c r="R20" s="16">
        <f>AI6</f>
        <v>560</v>
      </c>
      <c r="S20" s="16">
        <f>AY9</f>
        <v>4.999999999999999</v>
      </c>
      <c r="T20" s="16">
        <f>R20*S20</f>
        <v>2799.9999999999995</v>
      </c>
      <c r="U20" s="436">
        <f>BA7</f>
        <v>42.5</v>
      </c>
      <c r="V20" s="436"/>
      <c r="W20" s="15"/>
      <c r="X20" s="422">
        <f>T20*U20</f>
        <v>118999.99999999999</v>
      </c>
      <c r="Y20" s="422"/>
      <c r="Z20" s="422"/>
      <c r="AA20" s="422"/>
      <c r="AB20" s="15"/>
      <c r="AC20" s="437">
        <f>X22/T22</f>
        <v>28.289473684210527</v>
      </c>
      <c r="AD20" s="437"/>
      <c r="AE20" s="436">
        <f>U20-AC20</f>
        <v>14.210526315789473</v>
      </c>
      <c r="AF20" s="436"/>
      <c r="AG20" s="436"/>
      <c r="AH20" s="411">
        <f>(R20*S20^3)/12</f>
        <v>5833.333333333331</v>
      </c>
      <c r="AI20" s="411"/>
      <c r="AJ20" s="411"/>
      <c r="AK20" s="422">
        <f>T20*AE20^2</f>
        <v>565429.3628808863</v>
      </c>
      <c r="AL20" s="422"/>
      <c r="AM20" s="422"/>
      <c r="AN20" s="411">
        <f>AH20+AK20</f>
        <v>571262.6962142197</v>
      </c>
      <c r="AO20" s="411"/>
      <c r="AP20" s="411"/>
      <c r="AQ20" s="411"/>
      <c r="AR20" s="411"/>
      <c r="AS20" s="408">
        <f>C88</f>
        <v>380000</v>
      </c>
      <c r="AT20" s="408"/>
      <c r="AU20" s="408"/>
      <c r="AV20" s="408"/>
      <c r="AW20" s="408"/>
      <c r="BE20" s="20"/>
      <c r="BF20" s="13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CO20" s="15"/>
      <c r="CP20" s="15"/>
      <c r="CQ20" s="15"/>
      <c r="CR20" s="15"/>
    </row>
    <row r="21" spans="2:96" ht="15" thickBot="1">
      <c r="B21" s="359" t="s">
        <v>59</v>
      </c>
      <c r="C21" s="9"/>
      <c r="D21" s="62"/>
      <c r="E21" s="9"/>
      <c r="F21" s="62"/>
      <c r="G21" s="354">
        <v>20</v>
      </c>
      <c r="H21" s="355" t="s">
        <v>5</v>
      </c>
      <c r="I21" s="358">
        <f>G21</f>
        <v>20</v>
      </c>
      <c r="J21" s="8" t="s">
        <v>13</v>
      </c>
      <c r="K21" s="2"/>
      <c r="L21" s="2"/>
      <c r="M21" s="2"/>
      <c r="N21" s="2"/>
      <c r="Q21" s="16" t="s">
        <v>92</v>
      </c>
      <c r="R21" s="66">
        <f>X11+AA11+AD11+AG11+AJ11+AM11+AP11+AS11+AV11</f>
        <v>120</v>
      </c>
      <c r="S21" s="16">
        <f>AY10</f>
        <v>40</v>
      </c>
      <c r="T21" s="16">
        <f>R21*S21</f>
        <v>4800</v>
      </c>
      <c r="U21" s="436">
        <f>BB7</f>
        <v>20</v>
      </c>
      <c r="V21" s="436"/>
      <c r="W21" s="15"/>
      <c r="X21" s="422">
        <f>T21*U21</f>
        <v>96000</v>
      </c>
      <c r="Y21" s="422"/>
      <c r="Z21" s="422"/>
      <c r="AA21" s="422"/>
      <c r="AB21" s="15"/>
      <c r="AC21" s="437"/>
      <c r="AD21" s="437"/>
      <c r="AE21" s="436">
        <f>AC20-U21</f>
        <v>8.289473684210527</v>
      </c>
      <c r="AF21" s="422"/>
      <c r="AG21" s="422"/>
      <c r="AH21" s="411">
        <f>(R21*S21^3)/12</f>
        <v>640000</v>
      </c>
      <c r="AI21" s="411"/>
      <c r="AJ21" s="411"/>
      <c r="AK21" s="422">
        <f>T21*AE21^2</f>
        <v>329833.7950138505</v>
      </c>
      <c r="AL21" s="422"/>
      <c r="AM21" s="422"/>
      <c r="AN21" s="412">
        <f>AH21+AK21</f>
        <v>969833.7950138506</v>
      </c>
      <c r="AO21" s="412"/>
      <c r="AP21" s="412"/>
      <c r="AQ21" s="412"/>
      <c r="AR21" s="412"/>
      <c r="BE21" s="19" t="s">
        <v>136</v>
      </c>
      <c r="BF21" s="2" t="s">
        <v>137</v>
      </c>
      <c r="BG21" s="165">
        <f>BI18*0.5</f>
        <v>0.32894736842105265</v>
      </c>
      <c r="BH21" s="3" t="s">
        <v>119</v>
      </c>
      <c r="BI21" s="158"/>
      <c r="BJ21" s="158"/>
      <c r="BK21" s="158"/>
      <c r="BL21" s="158"/>
      <c r="BM21" s="158"/>
      <c r="BN21" s="158"/>
      <c r="BO21" s="158"/>
      <c r="BP21" s="158"/>
      <c r="CO21" s="15"/>
      <c r="CP21" s="15"/>
      <c r="CQ21" s="15"/>
      <c r="CR21" s="15"/>
    </row>
    <row r="22" spans="3:96" ht="14.25">
      <c r="C22" s="51"/>
      <c r="D22" s="52"/>
      <c r="E22" s="51"/>
      <c r="F22" s="52"/>
      <c r="G22" s="61" t="s">
        <v>60</v>
      </c>
      <c r="H22" s="63" t="s">
        <v>5</v>
      </c>
      <c r="I22" s="60">
        <f>SUM(I13:I21)</f>
        <v>590.0000000000003</v>
      </c>
      <c r="J22" s="64" t="s">
        <v>13</v>
      </c>
      <c r="K22" s="2"/>
      <c r="L22" s="2"/>
      <c r="M22" s="2"/>
      <c r="N22" s="2"/>
      <c r="T22" s="16">
        <f>T20+T21</f>
        <v>7600</v>
      </c>
      <c r="X22" s="422">
        <f>X20+X21</f>
        <v>215000</v>
      </c>
      <c r="Y22" s="422"/>
      <c r="Z22" s="422"/>
      <c r="AA22" s="422"/>
      <c r="AN22" s="488">
        <f>IF($C$88&gt;0,AN20+AN21+AS20,AN20+AN21)</f>
        <v>1921096.49122807</v>
      </c>
      <c r="AO22" s="489"/>
      <c r="AP22" s="489"/>
      <c r="AQ22" s="489"/>
      <c r="AR22" s="489"/>
      <c r="AS22" s="489"/>
      <c r="AT22" s="489"/>
      <c r="AU22" s="489"/>
      <c r="AV22" s="489"/>
      <c r="AW22" s="490"/>
      <c r="AX22" s="40" t="s">
        <v>292</v>
      </c>
      <c r="AY22" t="s">
        <v>293</v>
      </c>
      <c r="BE22" s="20"/>
      <c r="BF22" s="13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CO22" s="15"/>
      <c r="CP22" s="15" t="b">
        <v>1</v>
      </c>
      <c r="CQ22" s="15"/>
      <c r="CR22" s="15"/>
    </row>
    <row r="23" spans="3:96" ht="14.25">
      <c r="C23" s="51"/>
      <c r="D23" s="52"/>
      <c r="E23" s="51"/>
      <c r="F23" s="52"/>
      <c r="G23" s="61"/>
      <c r="H23" s="63"/>
      <c r="I23" s="60"/>
      <c r="J23" s="64"/>
      <c r="K23" s="2"/>
      <c r="L23" s="2"/>
      <c r="M23" s="2"/>
      <c r="N23" s="2"/>
      <c r="T23" s="7"/>
      <c r="X23" s="7"/>
      <c r="Y23" s="7"/>
      <c r="Z23" s="7"/>
      <c r="AA23" s="7"/>
      <c r="AN23" s="113"/>
      <c r="AO23" s="113"/>
      <c r="AP23" s="113"/>
      <c r="AQ23" s="113"/>
      <c r="AR23" s="113"/>
      <c r="BE23" s="20"/>
      <c r="BF23" s="13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CO23" s="15"/>
      <c r="CP23" s="15"/>
      <c r="CQ23" s="15"/>
      <c r="CR23" s="15"/>
    </row>
    <row r="24" spans="3:96" ht="14.25">
      <c r="C24" s="51"/>
      <c r="D24" s="52"/>
      <c r="E24" s="51"/>
      <c r="F24" s="52"/>
      <c r="G24" s="61"/>
      <c r="H24" s="63"/>
      <c r="I24" s="60"/>
      <c r="J24" s="64"/>
      <c r="K24" s="2"/>
      <c r="L24" s="2"/>
      <c r="M24" s="2"/>
      <c r="N24" s="2"/>
      <c r="Q24" s="114" t="s">
        <v>105</v>
      </c>
      <c r="AD24" s="409">
        <f>AD38+AD37+AD36+AD35+AD34+AD33+AD32+AD31+AD30</f>
        <v>180</v>
      </c>
      <c r="AE24" s="28"/>
      <c r="AF24" s="28"/>
      <c r="AG24" s="28"/>
      <c r="AH24" s="28"/>
      <c r="AI24" s="414" t="str">
        <f>IF(AD24&gt;AF25,"ok, ancho del abaco","no cumple ancho del abaco")</f>
        <v>no cumple ancho del abaco</v>
      </c>
      <c r="AJ24" s="402"/>
      <c r="AK24" s="402"/>
      <c r="AL24" s="402"/>
      <c r="AM24" s="431"/>
      <c r="BE24" s="345" t="s">
        <v>148</v>
      </c>
      <c r="BF24" s="13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CO24" s="15"/>
      <c r="CP24" s="15"/>
      <c r="CQ24" s="15"/>
      <c r="CR24" s="15"/>
    </row>
    <row r="25" spans="1:96" ht="14.25">
      <c r="A25" s="345" t="s">
        <v>63</v>
      </c>
      <c r="B25" s="44" t="s">
        <v>62</v>
      </c>
      <c r="C25" s="51"/>
      <c r="D25" s="52"/>
      <c r="E25" s="51"/>
      <c r="F25" s="52"/>
      <c r="G25" s="53"/>
      <c r="H25" s="40"/>
      <c r="I25" s="37"/>
      <c r="J25" s="2"/>
      <c r="K25" s="2"/>
      <c r="L25" s="2"/>
      <c r="M25" s="2"/>
      <c r="N25" s="2"/>
      <c r="T25" s="5"/>
      <c r="X25" s="406"/>
      <c r="Y25" s="406"/>
      <c r="AD25" s="410"/>
      <c r="AE25" s="69" t="s">
        <v>138</v>
      </c>
      <c r="AF25" s="477">
        <f>T30/6+T37/6</f>
        <v>186.66666666666666</v>
      </c>
      <c r="AG25" s="477"/>
      <c r="AH25" s="477"/>
      <c r="AI25" s="432"/>
      <c r="AJ25" s="433"/>
      <c r="AK25" s="433"/>
      <c r="AL25" s="433"/>
      <c r="AM25" s="434"/>
      <c r="AU25" s="407"/>
      <c r="AV25" s="407"/>
      <c r="BE25" s="20"/>
      <c r="BF25" s="13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CO25" s="15"/>
      <c r="CP25" s="15"/>
      <c r="CQ25" s="15"/>
      <c r="CR25" s="15"/>
    </row>
    <row r="26" spans="2:96" ht="14.25">
      <c r="B26" s="19"/>
      <c r="C26" s="51"/>
      <c r="D26" s="52"/>
      <c r="E26" s="51"/>
      <c r="F26" s="52"/>
      <c r="G26" s="53"/>
      <c r="H26" s="40"/>
      <c r="I26" s="37"/>
      <c r="J26" s="2"/>
      <c r="K26" s="2"/>
      <c r="L26" s="2"/>
      <c r="M26" s="2"/>
      <c r="N26" s="2"/>
      <c r="Y26" s="98"/>
      <c r="Z26" s="99"/>
      <c r="AA26" s="99"/>
      <c r="AB26" s="99"/>
      <c r="AC26" s="99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99"/>
      <c r="AO26" s="99"/>
      <c r="AP26" s="99"/>
      <c r="AQ26" s="99"/>
      <c r="AR26" s="99"/>
      <c r="AS26" s="99"/>
      <c r="AT26" s="99"/>
      <c r="AU26" s="100"/>
      <c r="AV26" s="99"/>
      <c r="AW26" s="99"/>
      <c r="AX26" s="99"/>
      <c r="AY26" s="99"/>
      <c r="AZ26" s="99"/>
      <c r="BA26" s="99"/>
      <c r="BB26" s="99"/>
      <c r="BE26" s="20"/>
      <c r="BF26" s="177" t="s">
        <v>150</v>
      </c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CO26" s="15"/>
      <c r="CP26" s="371">
        <f>IF($H$81=C69,M69,"")</f>
      </c>
      <c r="CQ26" s="15"/>
      <c r="CR26" s="15"/>
    </row>
    <row r="27" spans="1:96" ht="14.25">
      <c r="A27" s="345" t="s">
        <v>287</v>
      </c>
      <c r="I27" s="423"/>
      <c r="J27" s="423"/>
      <c r="K27" s="423"/>
      <c r="L27" s="2"/>
      <c r="M27" s="2"/>
      <c r="N27" s="2"/>
      <c r="Y27" s="101"/>
      <c r="Z27" s="15"/>
      <c r="AA27" s="1"/>
      <c r="AB27" s="15"/>
      <c r="AC27" s="1"/>
      <c r="AD27" s="15"/>
      <c r="AE27" s="1"/>
      <c r="AF27" s="15"/>
      <c r="AG27" s="1"/>
      <c r="AH27" s="15"/>
      <c r="AI27" s="1"/>
      <c r="AJ27" s="15"/>
      <c r="AK27" s="1"/>
      <c r="AL27" s="15"/>
      <c r="AM27" s="1"/>
      <c r="AN27" s="15"/>
      <c r="AO27" s="1"/>
      <c r="AP27" s="15"/>
      <c r="AQ27" s="1"/>
      <c r="AR27" s="15"/>
      <c r="AS27" s="1"/>
      <c r="AT27" s="15"/>
      <c r="AU27" s="102"/>
      <c r="AV27" s="1"/>
      <c r="AW27" s="15"/>
      <c r="AX27" s="1"/>
      <c r="AY27" s="15"/>
      <c r="AZ27" s="1"/>
      <c r="BA27" s="15"/>
      <c r="BB27" s="1"/>
      <c r="BE27" s="20"/>
      <c r="BF27" s="13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CO27" s="15"/>
      <c r="CP27" s="371">
        <f>IF($H$81=C70,M70,"")</f>
        <v>4</v>
      </c>
      <c r="CQ27" s="15"/>
      <c r="CR27" s="15"/>
    </row>
    <row r="28" spans="3:96" ht="14.25">
      <c r="C28" s="424" t="s">
        <v>32</v>
      </c>
      <c r="D28" s="425"/>
      <c r="E28" s="426"/>
      <c r="I28" s="1"/>
      <c r="J28" s="1"/>
      <c r="K28" s="1"/>
      <c r="L28" s="423"/>
      <c r="M28" s="423"/>
      <c r="N28" s="423"/>
      <c r="Y28" s="10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02"/>
      <c r="AV28" s="1"/>
      <c r="AW28" s="1"/>
      <c r="AX28" s="1"/>
      <c r="AY28" s="1"/>
      <c r="AZ28" s="1"/>
      <c r="BA28" s="1"/>
      <c r="BB28" s="1"/>
      <c r="BE28" s="20"/>
      <c r="BF28" s="178" t="s">
        <v>151</v>
      </c>
      <c r="BG28" s="158">
        <f>N5*100</f>
        <v>60</v>
      </c>
      <c r="BH28" s="179">
        <f>3*G10*100</f>
        <v>135</v>
      </c>
      <c r="BI28" s="158"/>
      <c r="BJ28" s="158"/>
      <c r="BK28" s="158"/>
      <c r="BL28" s="158"/>
      <c r="BM28" s="158"/>
      <c r="BN28" s="158"/>
      <c r="BO28" s="158"/>
      <c r="BP28" s="158"/>
      <c r="CO28" s="65" t="s">
        <v>73</v>
      </c>
      <c r="CP28" s="371">
        <f>IF($H$81=C71,M71,"")</f>
      </c>
      <c r="CQ28" s="15"/>
      <c r="CR28" s="15"/>
    </row>
    <row r="29" spans="3:96" ht="14.25">
      <c r="C29" s="49" t="s">
        <v>29</v>
      </c>
      <c r="D29" s="23">
        <v>590</v>
      </c>
      <c r="E29" s="27" t="s">
        <v>13</v>
      </c>
      <c r="I29" s="1"/>
      <c r="J29" s="1"/>
      <c r="K29" s="1"/>
      <c r="L29" s="4"/>
      <c r="M29" s="22"/>
      <c r="N29" s="1"/>
      <c r="Y29" s="101"/>
      <c r="Z29" s="15"/>
      <c r="AA29" s="1"/>
      <c r="AB29" s="15"/>
      <c r="AC29" s="1"/>
      <c r="AD29" s="15"/>
      <c r="AE29" s="1"/>
      <c r="AF29" s="15"/>
      <c r="AG29" s="1"/>
      <c r="AH29" s="15"/>
      <c r="AI29" s="1"/>
      <c r="AJ29" s="15"/>
      <c r="AK29" s="1"/>
      <c r="AL29" s="15"/>
      <c r="AM29" s="1"/>
      <c r="AN29" s="15"/>
      <c r="AO29" s="1"/>
      <c r="AP29" s="15"/>
      <c r="AQ29" s="1"/>
      <c r="AR29" s="15"/>
      <c r="AS29" s="1"/>
      <c r="AT29" s="15"/>
      <c r="AU29" s="102"/>
      <c r="AV29" s="1"/>
      <c r="AW29" s="15"/>
      <c r="AX29" s="1"/>
      <c r="AY29" s="15"/>
      <c r="AZ29" s="1"/>
      <c r="BA29" s="15"/>
      <c r="BB29" s="1"/>
      <c r="BE29" s="20"/>
      <c r="BF29" s="13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CO29" s="65" t="s">
        <v>73</v>
      </c>
      <c r="CP29" s="371">
        <f>IF($H$81=C72,M72,"")</f>
      </c>
      <c r="CQ29" s="15"/>
      <c r="CR29" s="15"/>
    </row>
    <row r="30" spans="3:96" ht="14.25">
      <c r="C30" s="50" t="s">
        <v>30</v>
      </c>
      <c r="D30" s="41">
        <v>250</v>
      </c>
      <c r="E30" s="29" t="s">
        <v>13</v>
      </c>
      <c r="I30" s="1"/>
      <c r="J30" s="1"/>
      <c r="K30" s="1"/>
      <c r="L30" s="4"/>
      <c r="M30" s="22"/>
      <c r="N30" s="1"/>
      <c r="S30" s="19" t="s">
        <v>139</v>
      </c>
      <c r="T30" s="41">
        <v>560</v>
      </c>
      <c r="U30" t="s">
        <v>3</v>
      </c>
      <c r="Y30" s="101"/>
      <c r="Z30" s="1"/>
      <c r="AA30" s="1"/>
      <c r="AB30" s="1"/>
      <c r="AC30" s="1"/>
      <c r="AD30" s="172">
        <v>0</v>
      </c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02"/>
      <c r="AV30" s="1"/>
      <c r="AW30" s="1"/>
      <c r="AX30" s="1"/>
      <c r="AY30" s="1"/>
      <c r="AZ30" s="1"/>
      <c r="BA30" s="1"/>
      <c r="BB30" s="1"/>
      <c r="BE30" s="20"/>
      <c r="BF30" s="178" t="s">
        <v>151</v>
      </c>
      <c r="BG30" s="158">
        <f>BG28+BH28</f>
        <v>195</v>
      </c>
      <c r="BH30" s="158"/>
      <c r="BI30" s="158"/>
      <c r="BJ30" s="158"/>
      <c r="BK30" s="158"/>
      <c r="BL30" s="158"/>
      <c r="BM30" s="158"/>
      <c r="BN30" s="158"/>
      <c r="BO30" s="158"/>
      <c r="BP30" s="158"/>
      <c r="CO30" s="65" t="s">
        <v>73</v>
      </c>
      <c r="CP30" s="371">
        <f>IF($H$81=C73,M73,"")</f>
      </c>
      <c r="CQ30" s="15"/>
      <c r="CR30" s="15"/>
    </row>
    <row r="31" spans="25:96" ht="14.25">
      <c r="Y31" s="101"/>
      <c r="Z31" s="1"/>
      <c r="AC31" s="1"/>
      <c r="AD31" s="173">
        <v>0</v>
      </c>
      <c r="AE31" s="1"/>
      <c r="AF31" s="15"/>
      <c r="AG31" s="1"/>
      <c r="AH31" s="15"/>
      <c r="AI31" s="1"/>
      <c r="AJ31" s="15"/>
      <c r="AK31" s="1"/>
      <c r="AL31" s="15"/>
      <c r="AM31" s="1"/>
      <c r="AN31" s="15"/>
      <c r="AO31" s="1"/>
      <c r="AP31" s="15"/>
      <c r="AQ31" s="1"/>
      <c r="AR31" s="1"/>
      <c r="AS31" s="1"/>
      <c r="AT31" s="1"/>
      <c r="AU31" s="102"/>
      <c r="AV31" s="1"/>
      <c r="AW31" s="1"/>
      <c r="AX31" s="1"/>
      <c r="AY31" s="1"/>
      <c r="AZ31" s="1"/>
      <c r="BA31" s="15"/>
      <c r="BB31" s="1"/>
      <c r="BE31" s="20"/>
      <c r="BF31" s="13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CO31" s="65" t="s">
        <v>73</v>
      </c>
      <c r="CP31" s="371">
        <f>IF($H$81=C74,O74,"")</f>
      </c>
      <c r="CQ31" s="15"/>
      <c r="CR31" s="15"/>
    </row>
    <row r="32" spans="22:96" ht="12.75">
      <c r="V32" s="427"/>
      <c r="W32" s="427"/>
      <c r="Y32" s="101"/>
      <c r="Z32" s="1"/>
      <c r="AA32" s="1"/>
      <c r="AB32" s="1"/>
      <c r="AC32" s="47"/>
      <c r="AD32" s="195">
        <f>AM11</f>
        <v>15</v>
      </c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02"/>
      <c r="AV32" s="1"/>
      <c r="AW32" s="1"/>
      <c r="AX32" s="1"/>
      <c r="AY32" s="1"/>
      <c r="AZ32" s="1"/>
      <c r="BA32" s="1"/>
      <c r="BB32" s="1"/>
      <c r="BE32" s="20"/>
      <c r="BF32" s="13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CO32" s="15"/>
      <c r="CP32" s="15"/>
      <c r="CQ32" s="15"/>
      <c r="CR32" s="15"/>
    </row>
    <row r="33" spans="1:96" ht="14.25">
      <c r="A33" s="175" t="s">
        <v>37</v>
      </c>
      <c r="Y33" s="101"/>
      <c r="Z33" s="1"/>
      <c r="AA33" s="1"/>
      <c r="AB33" s="1"/>
      <c r="AC33" s="47"/>
      <c r="AD33" s="196">
        <f>AK12</f>
        <v>60</v>
      </c>
      <c r="AE33" s="1"/>
      <c r="AF33" s="15"/>
      <c r="AG33" s="1"/>
      <c r="AH33" s="15"/>
      <c r="AI33" s="1"/>
      <c r="AJ33" s="15"/>
      <c r="AK33" s="1"/>
      <c r="AL33" s="15"/>
      <c r="AM33" s="1"/>
      <c r="AN33" s="15"/>
      <c r="AO33" s="1"/>
      <c r="AP33" s="15"/>
      <c r="AQ33" s="1"/>
      <c r="AR33" s="1"/>
      <c r="AS33" s="1"/>
      <c r="AT33" s="1"/>
      <c r="AU33" s="102"/>
      <c r="AV33" s="1"/>
      <c r="AW33" s="1"/>
      <c r="AX33" s="1"/>
      <c r="AY33" s="1"/>
      <c r="AZ33" s="1"/>
      <c r="BA33" s="15"/>
      <c r="BB33" s="1"/>
      <c r="BE33" s="20"/>
      <c r="BF33" s="6"/>
      <c r="BG33" s="180">
        <f>K81</f>
        <v>4</v>
      </c>
      <c r="BH33" s="467"/>
      <c r="BI33" s="467"/>
      <c r="BL33" s="467"/>
      <c r="BM33" s="467"/>
      <c r="BN33" s="467"/>
      <c r="BO33" s="467"/>
      <c r="BP33" s="6"/>
      <c r="BR33" s="184">
        <f>BG33</f>
        <v>4</v>
      </c>
      <c r="CO33" s="15"/>
      <c r="CP33" s="15"/>
      <c r="CQ33" s="15"/>
      <c r="CR33" s="15"/>
    </row>
    <row r="34" spans="1:79" ht="12.75">
      <c r="A34" s="43"/>
      <c r="H34" s="1"/>
      <c r="I34" s="423"/>
      <c r="J34" s="423"/>
      <c r="K34" s="423"/>
      <c r="L34" s="423"/>
      <c r="M34" s="423"/>
      <c r="N34" s="423"/>
      <c r="U34" s="84">
        <f>K81</f>
        <v>4</v>
      </c>
      <c r="X34" s="106"/>
      <c r="Y34" s="107"/>
      <c r="Z34" s="473">
        <f>N5*100</f>
        <v>60</v>
      </c>
      <c r="AA34" s="474"/>
      <c r="AB34" s="1"/>
      <c r="AC34" s="47"/>
      <c r="AD34" s="195">
        <f>AJ11</f>
        <v>30</v>
      </c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06"/>
      <c r="AV34" s="107"/>
      <c r="AW34" s="1"/>
      <c r="AX34" s="1"/>
      <c r="AY34" s="1"/>
      <c r="AZ34" s="1"/>
      <c r="BA34" s="1"/>
      <c r="BB34" s="1"/>
      <c r="BE34" s="20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483">
        <f>BQ35+BR38+BS35</f>
        <v>30</v>
      </c>
      <c r="BR34" s="483"/>
      <c r="BS34" s="483"/>
      <c r="BZ34" s="484">
        <f>BY37+BY36/2</f>
        <v>42.5</v>
      </c>
      <c r="CA34" s="484">
        <f>AY10/2</f>
        <v>20</v>
      </c>
    </row>
    <row r="35" spans="8:79" ht="12.75">
      <c r="H35" s="1"/>
      <c r="I35" s="1"/>
      <c r="J35" s="1"/>
      <c r="K35" s="1"/>
      <c r="L35" s="1"/>
      <c r="M35" s="1"/>
      <c r="N35" s="1"/>
      <c r="X35" s="449">
        <f>M5*100</f>
        <v>50</v>
      </c>
      <c r="Y35" s="449"/>
      <c r="Z35" s="1"/>
      <c r="AA35" s="1"/>
      <c r="AB35" s="1"/>
      <c r="AC35" s="47"/>
      <c r="AD35" s="197">
        <f>AH12</f>
        <v>60</v>
      </c>
      <c r="AE35" s="1"/>
      <c r="AF35" s="15"/>
      <c r="AG35" s="1"/>
      <c r="AH35" s="15"/>
      <c r="AI35" s="1"/>
      <c r="AJ35" s="15"/>
      <c r="AK35" s="1"/>
      <c r="AL35" s="15"/>
      <c r="AM35" s="1"/>
      <c r="AN35" s="15"/>
      <c r="AO35" s="1"/>
      <c r="AP35" s="15"/>
      <c r="AQ35" s="1"/>
      <c r="AR35" s="1"/>
      <c r="AS35" s="1"/>
      <c r="AT35" s="1"/>
      <c r="AU35" s="102"/>
      <c r="AV35" s="1"/>
      <c r="AW35" s="1"/>
      <c r="AX35" s="1"/>
      <c r="AY35" s="1"/>
      <c r="AZ35" s="1"/>
      <c r="BA35" s="15"/>
      <c r="BB35" s="1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190">
        <f>BS35</f>
        <v>0</v>
      </c>
      <c r="BR35" s="190"/>
      <c r="BS35" s="190">
        <f>IF(BM39=0,(BG37-BR38)/2,0)</f>
        <v>0</v>
      </c>
      <c r="BZ35" s="484"/>
      <c r="CA35" s="484"/>
    </row>
    <row r="36" spans="1:78" ht="14.25">
      <c r="A36" t="s">
        <v>312</v>
      </c>
      <c r="B36" s="19" t="s">
        <v>22</v>
      </c>
      <c r="C36" t="s">
        <v>316</v>
      </c>
      <c r="E36" s="63" t="s">
        <v>12</v>
      </c>
      <c r="F36" s="2" t="s">
        <v>17</v>
      </c>
      <c r="G36" s="35">
        <v>3</v>
      </c>
      <c r="H36" s="2" t="s">
        <v>3</v>
      </c>
      <c r="I36" s="63" t="s">
        <v>5</v>
      </c>
      <c r="J36" s="360">
        <f>IF($CP$22=FALSE,G41*$C$39*(1-((2*$C$40)/(3*$C$39)))*1.2,G42*$C$39*(1-((2*$C$40)/(3*$C$39)))*1.2)+G36</f>
        <v>27.433167496151142</v>
      </c>
      <c r="K36" s="46" t="s">
        <v>3</v>
      </c>
      <c r="L36" s="47"/>
      <c r="M36" s="48"/>
      <c r="N36" s="7"/>
      <c r="V36" s="427"/>
      <c r="W36" s="427"/>
      <c r="Y36" s="101"/>
      <c r="Z36" s="1"/>
      <c r="AA36" s="1"/>
      <c r="AB36" s="1"/>
      <c r="AC36" s="47"/>
      <c r="AD36" s="195">
        <f>AG11</f>
        <v>15</v>
      </c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02"/>
      <c r="AV36" s="1"/>
      <c r="AW36" s="1"/>
      <c r="AX36" s="1"/>
      <c r="AY36" s="1"/>
      <c r="AZ36" s="1"/>
      <c r="BA36" s="1"/>
      <c r="BB36" s="1"/>
      <c r="BE36" s="20"/>
      <c r="BF36" s="20"/>
      <c r="BG36" s="17"/>
      <c r="BH36" s="181">
        <f>G10*100</f>
        <v>45</v>
      </c>
      <c r="BI36" s="20"/>
      <c r="BJ36" s="20"/>
      <c r="BK36" s="20"/>
      <c r="BL36" s="20"/>
      <c r="BM36" s="193"/>
      <c r="BN36" s="194"/>
      <c r="BO36" s="187"/>
      <c r="BP36" s="187"/>
      <c r="BQ36" s="191"/>
      <c r="BR36" s="28"/>
      <c r="BS36" s="192"/>
      <c r="BT36" s="28"/>
      <c r="BU36" s="28"/>
      <c r="BV36" s="77"/>
      <c r="BW36" s="79"/>
      <c r="BY36" s="199">
        <f>AY9</f>
        <v>4.999999999999999</v>
      </c>
      <c r="BZ36" s="83"/>
    </row>
    <row r="37" spans="9:78" ht="12.75">
      <c r="I37" s="1"/>
      <c r="J37" s="48"/>
      <c r="K37" s="46"/>
      <c r="L37" s="47"/>
      <c r="M37" s="48"/>
      <c r="N37" s="7"/>
      <c r="S37" s="19" t="s">
        <v>139</v>
      </c>
      <c r="T37" s="41">
        <v>560</v>
      </c>
      <c r="U37" t="s">
        <v>3</v>
      </c>
      <c r="Y37" s="101"/>
      <c r="Z37" s="1"/>
      <c r="AA37" s="1"/>
      <c r="AB37" s="1"/>
      <c r="AC37" s="1"/>
      <c r="AD37" s="173">
        <v>0</v>
      </c>
      <c r="AE37" s="1"/>
      <c r="AF37" s="15"/>
      <c r="AG37" s="1"/>
      <c r="AH37" s="15"/>
      <c r="AI37" s="1"/>
      <c r="AJ37" s="15"/>
      <c r="AK37" s="1"/>
      <c r="AL37" s="15"/>
      <c r="AM37" s="1"/>
      <c r="AN37" s="15"/>
      <c r="AO37" s="1"/>
      <c r="AP37" s="15"/>
      <c r="AQ37" s="1"/>
      <c r="AR37" s="1"/>
      <c r="AS37" s="1"/>
      <c r="AT37" s="1"/>
      <c r="AU37" s="102"/>
      <c r="AV37" s="1"/>
      <c r="AW37" s="1"/>
      <c r="AX37" s="1"/>
      <c r="AY37" s="1"/>
      <c r="AZ37" s="1"/>
      <c r="BA37" s="15"/>
      <c r="BB37" s="1"/>
      <c r="BE37" s="20"/>
      <c r="BF37" s="20"/>
      <c r="BG37" s="182">
        <f>BG30</f>
        <v>195</v>
      </c>
      <c r="BH37" s="20"/>
      <c r="BI37" s="20"/>
      <c r="BJ37" s="20"/>
      <c r="BK37" s="20"/>
      <c r="BL37" s="20"/>
      <c r="BM37" s="20"/>
      <c r="BN37" s="20"/>
      <c r="BO37" s="186"/>
      <c r="BP37" s="185"/>
      <c r="BQ37" s="33"/>
      <c r="BR37" s="24"/>
      <c r="BS37" s="85"/>
      <c r="BT37" s="33"/>
      <c r="BU37" s="24"/>
      <c r="BY37" s="199">
        <f>AY10</f>
        <v>40</v>
      </c>
      <c r="BZ37" s="83"/>
    </row>
    <row r="38" spans="6:78" ht="12.75">
      <c r="F38" s="40"/>
      <c r="H38" s="23"/>
      <c r="I38" s="1"/>
      <c r="J38" s="48"/>
      <c r="K38" s="46"/>
      <c r="L38" s="47"/>
      <c r="M38" s="48"/>
      <c r="N38" s="7"/>
      <c r="Y38" s="101"/>
      <c r="Z38" s="1"/>
      <c r="AA38" s="1"/>
      <c r="AB38" s="1"/>
      <c r="AC38" s="1"/>
      <c r="AD38" s="172">
        <v>0</v>
      </c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02"/>
      <c r="AV38" s="1"/>
      <c r="AW38" s="1"/>
      <c r="AX38" s="1"/>
      <c r="AY38" s="1"/>
      <c r="AZ38" s="1"/>
      <c r="BA38" s="1"/>
      <c r="BB38" s="1"/>
      <c r="BO38" s="188">
        <f>AG11</f>
        <v>15</v>
      </c>
      <c r="BP38" s="188"/>
      <c r="BQ38" s="188"/>
      <c r="BR38" s="190">
        <f>AJ11</f>
        <v>30</v>
      </c>
      <c r="BS38" s="188"/>
      <c r="BT38" s="188"/>
      <c r="BU38" s="188">
        <f>AM11</f>
        <v>15</v>
      </c>
      <c r="BY38" s="83"/>
      <c r="BZ38" s="83"/>
    </row>
    <row r="39" spans="2:75" ht="12.75" customHeight="1">
      <c r="B39" t="s">
        <v>315</v>
      </c>
      <c r="C39" s="35">
        <v>923</v>
      </c>
      <c r="D39" t="s">
        <v>3</v>
      </c>
      <c r="F39" s="2"/>
      <c r="H39" s="1"/>
      <c r="I39" s="1"/>
      <c r="J39" s="1"/>
      <c r="K39" s="1"/>
      <c r="L39" s="1"/>
      <c r="M39" s="1"/>
      <c r="N39" s="1"/>
      <c r="Q39" s="414" t="str">
        <f>IF(V39&gt;S39,"ok, ancho del abaco","no cumple ancho del abaco")</f>
        <v>no cumple ancho del abaco</v>
      </c>
      <c r="R39" s="431"/>
      <c r="S39" s="476">
        <f>AI50/6</f>
        <v>137</v>
      </c>
      <c r="T39" s="476"/>
      <c r="U39" s="156" t="s">
        <v>11</v>
      </c>
      <c r="V39" s="403">
        <f>Y39+Z39+AA39+AB39+AC39</f>
        <v>90</v>
      </c>
      <c r="W39" s="404"/>
      <c r="Y39" s="261">
        <v>15</v>
      </c>
      <c r="Z39" s="109">
        <v>60</v>
      </c>
      <c r="AA39" s="110">
        <v>15</v>
      </c>
      <c r="AB39" s="109">
        <v>0</v>
      </c>
      <c r="AC39" s="110">
        <v>0</v>
      </c>
      <c r="AD39" s="109"/>
      <c r="AE39" s="110"/>
      <c r="AF39" s="108"/>
      <c r="AG39" s="1"/>
      <c r="AH39" s="15"/>
      <c r="AI39" s="1"/>
      <c r="AJ39" s="15"/>
      <c r="AK39" s="1"/>
      <c r="AL39" s="15"/>
      <c r="AM39" s="1"/>
      <c r="AN39" s="15"/>
      <c r="AO39" s="1"/>
      <c r="AP39" s="15"/>
      <c r="AQ39" s="110">
        <v>0</v>
      </c>
      <c r="AR39" s="109">
        <v>0</v>
      </c>
      <c r="AS39" s="110">
        <v>15</v>
      </c>
      <c r="AT39" s="109">
        <v>60</v>
      </c>
      <c r="AU39" s="112">
        <v>15</v>
      </c>
      <c r="AV39" s="1"/>
      <c r="AW39" s="15"/>
      <c r="AX39" s="1"/>
      <c r="AY39" s="15"/>
      <c r="AZ39" s="1"/>
      <c r="BA39" s="15"/>
      <c r="BB39" s="1"/>
      <c r="BM39" s="482">
        <f>BV39</f>
        <v>7.5</v>
      </c>
      <c r="BN39" s="482"/>
      <c r="BP39" s="427">
        <f>AH12</f>
        <v>60</v>
      </c>
      <c r="BQ39" s="427"/>
      <c r="BS39" s="427">
        <f>AK12</f>
        <v>60</v>
      </c>
      <c r="BT39" s="427"/>
      <c r="BV39" s="482">
        <f>ABS(IF(($BP$39+$BR$38+$BS$39+BO38+BU38)&lt;$BG$37,($BP$39+$BS$39+$BR$38+BO38+BU38-$BG$37)/2,0))</f>
        <v>7.5</v>
      </c>
      <c r="BW39" s="482"/>
    </row>
    <row r="40" spans="1:70" ht="12.75">
      <c r="A40" t="s">
        <v>35</v>
      </c>
      <c r="B40" t="s">
        <v>36</v>
      </c>
      <c r="C40" s="59">
        <f>M5*100</f>
        <v>50</v>
      </c>
      <c r="D40" t="s">
        <v>3</v>
      </c>
      <c r="E40" s="2"/>
      <c r="F40" s="39"/>
      <c r="H40" s="1"/>
      <c r="I40" s="1"/>
      <c r="J40" s="1"/>
      <c r="K40" s="1"/>
      <c r="L40" s="1"/>
      <c r="M40" s="1"/>
      <c r="N40" s="1"/>
      <c r="Q40" s="432"/>
      <c r="R40" s="434"/>
      <c r="S40" s="5"/>
      <c r="T40" s="5"/>
      <c r="U40" s="5"/>
      <c r="V40" s="5"/>
      <c r="W40" s="29"/>
      <c r="Y40" s="111"/>
      <c r="Z40" s="110"/>
      <c r="AA40" s="110"/>
      <c r="AB40" s="110"/>
      <c r="AC40" s="110"/>
      <c r="AD40" s="110"/>
      <c r="AE40" s="110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02"/>
      <c r="AV40" s="1"/>
      <c r="AW40" s="1"/>
      <c r="AX40" s="1"/>
      <c r="AY40" s="1"/>
      <c r="AZ40" s="1"/>
      <c r="BA40" s="1"/>
      <c r="BB40" s="1"/>
      <c r="BR40" s="189">
        <f>BV39+BS39+BR38+BP39+BM39+BO38+BU38</f>
        <v>195</v>
      </c>
    </row>
    <row r="41" spans="1:70" ht="14.25">
      <c r="A41" t="s">
        <v>23</v>
      </c>
      <c r="B41" t="s">
        <v>27</v>
      </c>
      <c r="C41" s="37">
        <f>0.00075*($C$43*C44)^0.25</f>
        <v>0.028607586521345946</v>
      </c>
      <c r="D41" s="2" t="s">
        <v>25</v>
      </c>
      <c r="E41" s="45">
        <v>0.025</v>
      </c>
      <c r="F41" s="18" t="s">
        <v>5</v>
      </c>
      <c r="G41" s="13">
        <f>MAX(C41,E41)</f>
        <v>0.028607586521345946</v>
      </c>
      <c r="I41" s="1"/>
      <c r="L41" s="13"/>
      <c r="M41" s="13"/>
      <c r="Q41" s="166"/>
      <c r="R41" s="166"/>
      <c r="Y41" s="101"/>
      <c r="Z41" s="15"/>
      <c r="AA41" s="1"/>
      <c r="AB41" s="15"/>
      <c r="AC41" s="1"/>
      <c r="AD41" s="15"/>
      <c r="AE41" s="1"/>
      <c r="AF41" s="15"/>
      <c r="AG41" s="1"/>
      <c r="AH41" s="15"/>
      <c r="AI41" s="1"/>
      <c r="AJ41" s="15"/>
      <c r="AK41" s="1"/>
      <c r="AL41" s="15"/>
      <c r="AM41" s="1"/>
      <c r="AN41" s="15"/>
      <c r="AO41" s="1"/>
      <c r="AP41" s="15"/>
      <c r="AQ41" s="1"/>
      <c r="AR41" s="15"/>
      <c r="AS41" s="1"/>
      <c r="AT41" s="15"/>
      <c r="AU41" s="102"/>
      <c r="AV41" s="1"/>
      <c r="AW41" s="15"/>
      <c r="AX41" s="1"/>
      <c r="AY41" s="15"/>
      <c r="AZ41" s="1"/>
      <c r="BA41" s="15"/>
      <c r="BB41" s="1"/>
      <c r="BG41" s="183" t="s">
        <v>152</v>
      </c>
      <c r="BR41" s="183" t="s">
        <v>153</v>
      </c>
    </row>
    <row r="42" spans="1:54" ht="14.25">
      <c r="A42" t="s">
        <v>24</v>
      </c>
      <c r="B42" t="s">
        <v>28</v>
      </c>
      <c r="C42" s="37">
        <f>0.0006*($C$43*C44)^0.25</f>
        <v>0.022886069217076754</v>
      </c>
      <c r="D42" s="2" t="s">
        <v>25</v>
      </c>
      <c r="E42" s="45">
        <v>0.02</v>
      </c>
      <c r="F42" s="18" t="s">
        <v>5</v>
      </c>
      <c r="G42" s="13">
        <f>MAX(C42,E42)</f>
        <v>0.022886069217076754</v>
      </c>
      <c r="I42" s="1"/>
      <c r="L42" s="13"/>
      <c r="M42" s="13"/>
      <c r="T42" s="5"/>
      <c r="Y42" s="103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5"/>
      <c r="AV42" s="104"/>
      <c r="AW42" s="104"/>
      <c r="AX42" s="104"/>
      <c r="AY42" s="104"/>
      <c r="AZ42" s="104"/>
      <c r="BA42" s="104"/>
      <c r="BB42" s="104"/>
    </row>
    <row r="43" spans="2:14" ht="12.75">
      <c r="B43" t="s">
        <v>26</v>
      </c>
      <c r="C43" s="2">
        <f>0.6*G3</f>
        <v>2520</v>
      </c>
      <c r="H43" s="1"/>
      <c r="I43" s="1"/>
      <c r="J43" s="1"/>
      <c r="K43" s="1"/>
      <c r="L43" s="1"/>
      <c r="M43" s="1"/>
      <c r="N43" s="1"/>
    </row>
    <row r="44" spans="1:48" ht="14.25">
      <c r="A44" t="s">
        <v>31</v>
      </c>
      <c r="B44" s="38" t="s">
        <v>34</v>
      </c>
      <c r="C44" s="2">
        <f>D29+D30</f>
        <v>840</v>
      </c>
      <c r="H44" s="1"/>
      <c r="I44" s="1"/>
      <c r="J44" s="1"/>
      <c r="K44" s="1"/>
      <c r="L44" s="1"/>
      <c r="M44" s="1"/>
      <c r="N44" s="1"/>
      <c r="X44" s="118"/>
      <c r="AJ44" s="115" t="s">
        <v>106</v>
      </c>
      <c r="AT44" s="1"/>
      <c r="AU44" s="27"/>
      <c r="AV44" s="117"/>
    </row>
    <row r="45" spans="2:57" ht="12.75">
      <c r="B45" s="38"/>
      <c r="C45" s="2"/>
      <c r="H45" s="1"/>
      <c r="I45" s="1"/>
      <c r="J45" s="1"/>
      <c r="K45" s="1"/>
      <c r="L45" s="1"/>
      <c r="M45" s="1"/>
      <c r="N45" s="1"/>
      <c r="X45" s="118"/>
      <c r="Y45" s="28"/>
      <c r="Z45" s="28"/>
      <c r="AA45" s="28"/>
      <c r="AB45" s="28"/>
      <c r="AC45" s="28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28"/>
      <c r="AS45" s="28"/>
      <c r="AT45" s="28"/>
      <c r="AU45" s="33"/>
      <c r="AV45" s="117"/>
      <c r="BE45" t="s">
        <v>154</v>
      </c>
    </row>
    <row r="46" spans="24:48" ht="14.25">
      <c r="X46" s="118"/>
      <c r="Y46" s="5"/>
      <c r="Z46" s="5"/>
      <c r="AA46" s="115" t="s">
        <v>107</v>
      </c>
      <c r="AB46" s="5"/>
      <c r="AC46" s="29"/>
      <c r="AR46" s="32"/>
      <c r="AS46" s="5"/>
      <c r="AT46" s="115" t="s">
        <v>107</v>
      </c>
      <c r="AU46" s="29"/>
      <c r="AV46" s="117"/>
    </row>
    <row r="47" spans="24:59" ht="14.25">
      <c r="X47" s="118"/>
      <c r="AT47" s="1"/>
      <c r="AU47" s="27"/>
      <c r="AV47" s="117"/>
      <c r="BE47" s="19" t="s">
        <v>155</v>
      </c>
      <c r="BF47" s="198">
        <f>BG37*BH36^3/12</f>
        <v>1480781.25</v>
      </c>
      <c r="BG47" t="s">
        <v>78</v>
      </c>
    </row>
    <row r="48" spans="1:47" ht="14.25">
      <c r="A48" s="175" t="s">
        <v>64</v>
      </c>
      <c r="Y48" s="32"/>
      <c r="Z48" s="5"/>
      <c r="AA48" s="416">
        <f>Y39+Z39+AA39+AB39+AC39</f>
        <v>90</v>
      </c>
      <c r="AB48" s="416"/>
      <c r="AC48" s="29"/>
      <c r="AD48" s="5"/>
      <c r="AE48" s="5"/>
      <c r="AF48" s="5"/>
      <c r="AG48" s="5"/>
      <c r="AH48" s="5"/>
      <c r="AI48" s="416">
        <f>MAX(G67:N67)-AA48-AS48</f>
        <v>642</v>
      </c>
      <c r="AJ48" s="460"/>
      <c r="AK48" s="5"/>
      <c r="AL48" s="5"/>
      <c r="AM48" s="5"/>
      <c r="AN48" s="5"/>
      <c r="AO48" s="5"/>
      <c r="AP48" s="5"/>
      <c r="AQ48" s="5"/>
      <c r="AR48" s="32"/>
      <c r="AS48" s="416">
        <f>AU39+AT39+AS39+AR39+AQ39</f>
        <v>90</v>
      </c>
      <c r="AT48" s="416"/>
      <c r="AU48" s="29"/>
    </row>
    <row r="49" spans="24:57" ht="12.75">
      <c r="X49" s="27"/>
      <c r="Y49" s="1"/>
      <c r="Z49" s="1"/>
      <c r="AA49" s="1"/>
      <c r="AB49" s="1"/>
      <c r="AC49" s="27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33"/>
      <c r="AR49" s="1"/>
      <c r="AS49" s="1"/>
      <c r="AT49" s="1"/>
      <c r="AU49" s="33"/>
      <c r="BE49" t="s">
        <v>156</v>
      </c>
    </row>
    <row r="50" spans="1:47" ht="14.25">
      <c r="A50" s="345" t="s">
        <v>146</v>
      </c>
      <c r="H50" s="58"/>
      <c r="I50" s="2"/>
      <c r="J50" s="2"/>
      <c r="K50" s="2"/>
      <c r="L50" s="2"/>
      <c r="M50" s="2"/>
      <c r="N50" s="2"/>
      <c r="O50" s="58"/>
      <c r="X50" s="27"/>
      <c r="Y50" s="5"/>
      <c r="Z50" s="5"/>
      <c r="AA50" s="5"/>
      <c r="AB50" s="5"/>
      <c r="AC50" s="5"/>
      <c r="AD50" s="5"/>
      <c r="AE50" s="5"/>
      <c r="AF50" s="5"/>
      <c r="AG50" s="5"/>
      <c r="AH50" s="115" t="s">
        <v>108</v>
      </c>
      <c r="AI50" s="416">
        <f>MAX(G67:N67)</f>
        <v>822</v>
      </c>
      <c r="AJ50" s="460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29"/>
    </row>
    <row r="51" spans="3:47" ht="12.75">
      <c r="C51" s="1"/>
      <c r="H51" s="422" t="s">
        <v>288</v>
      </c>
      <c r="I51" s="422"/>
      <c r="J51" s="422"/>
      <c r="K51" s="422"/>
      <c r="L51" s="423"/>
      <c r="M51" s="423"/>
      <c r="N51" s="423"/>
      <c r="O51" s="423"/>
      <c r="X51" s="27"/>
      <c r="AU51" s="33"/>
    </row>
    <row r="52" spans="2:81" ht="14.25">
      <c r="B52" s="19" t="s">
        <v>140</v>
      </c>
      <c r="C52" s="41">
        <v>1.4</v>
      </c>
      <c r="H52" s="461" t="s">
        <v>289</v>
      </c>
      <c r="I52" s="462"/>
      <c r="J52" s="458">
        <f>(D29*C52+D30*C53)</f>
        <v>1251</v>
      </c>
      <c r="K52" s="459"/>
      <c r="L52" s="1"/>
      <c r="M52" s="4"/>
      <c r="N52" s="4"/>
      <c r="O52" s="95"/>
      <c r="BE52" s="16" t="s">
        <v>91</v>
      </c>
      <c r="BF52" s="16" t="s">
        <v>98</v>
      </c>
      <c r="BG52" s="16" t="s">
        <v>99</v>
      </c>
      <c r="BH52" s="16" t="s">
        <v>158</v>
      </c>
      <c r="BI52" s="16" t="s">
        <v>93</v>
      </c>
      <c r="BJ52" s="16" t="s">
        <v>97</v>
      </c>
      <c r="BK52" s="422" t="s">
        <v>94</v>
      </c>
      <c r="BL52" s="422"/>
      <c r="BM52" s="422" t="s">
        <v>159</v>
      </c>
      <c r="BN52" s="422"/>
      <c r="BO52" s="422"/>
      <c r="BP52" s="422"/>
      <c r="BQ52" s="422" t="s">
        <v>102</v>
      </c>
      <c r="BR52" s="422"/>
      <c r="BS52" s="422"/>
      <c r="BT52" s="422"/>
      <c r="BU52" s="422" t="s">
        <v>101</v>
      </c>
      <c r="BV52" s="422"/>
      <c r="BW52" s="422"/>
      <c r="BX52" s="422"/>
      <c r="BY52" s="422" t="s">
        <v>114</v>
      </c>
      <c r="BZ52" s="422"/>
      <c r="CA52" s="422"/>
      <c r="CB52" s="422"/>
      <c r="CC52" s="16" t="s">
        <v>115</v>
      </c>
    </row>
    <row r="53" spans="2:81" ht="12.75">
      <c r="B53" s="19" t="s">
        <v>141</v>
      </c>
      <c r="C53" s="41">
        <v>1.7</v>
      </c>
      <c r="H53" s="461" t="s">
        <v>297</v>
      </c>
      <c r="I53" s="462"/>
      <c r="J53" s="458">
        <f>(D29*C52+D30*C53)*C54</f>
        <v>1438.6499999999999</v>
      </c>
      <c r="K53" s="459"/>
      <c r="L53" s="1"/>
      <c r="M53" s="4"/>
      <c r="N53" s="4"/>
      <c r="O53" s="95"/>
      <c r="BE53" s="16" t="s">
        <v>76</v>
      </c>
      <c r="BF53" s="66">
        <f>BG37</f>
        <v>195</v>
      </c>
      <c r="BG53" s="16">
        <f>BY36</f>
        <v>4.999999999999999</v>
      </c>
      <c r="BH53" s="16">
        <f>BF53*BG53</f>
        <v>974.9999999999998</v>
      </c>
      <c r="BI53" s="167">
        <f>BZ34</f>
        <v>42.5</v>
      </c>
      <c r="BJ53" s="66">
        <f>BH53*BI53</f>
        <v>41437.49999999999</v>
      </c>
      <c r="BK53" s="437">
        <f>BJ55/BH55</f>
        <v>26.5</v>
      </c>
      <c r="BL53" s="437"/>
      <c r="BM53" s="436">
        <f>BI53-BK53</f>
        <v>16</v>
      </c>
      <c r="BN53" s="436"/>
      <c r="BO53" s="436"/>
      <c r="BP53" s="436"/>
      <c r="BQ53" s="411">
        <f>BF53*BG53^3/12</f>
        <v>2031.249999999999</v>
      </c>
      <c r="BR53" s="411"/>
      <c r="BS53" s="411"/>
      <c r="BT53" s="411"/>
      <c r="BU53" s="411">
        <f>BH53*BM53^2</f>
        <v>249599.99999999994</v>
      </c>
      <c r="BV53" s="411"/>
      <c r="BW53" s="411"/>
      <c r="BX53" s="411"/>
      <c r="BY53" s="411">
        <f>BQ53+BU53</f>
        <v>251631.24999999994</v>
      </c>
      <c r="BZ53" s="422"/>
      <c r="CA53" s="422"/>
      <c r="CB53" s="422"/>
      <c r="CC53" s="15">
        <f>C88</f>
        <v>380000</v>
      </c>
    </row>
    <row r="54" spans="2:81" ht="12.75">
      <c r="B54" s="19" t="s">
        <v>142</v>
      </c>
      <c r="C54" s="373">
        <f>IF(C55&gt;0,(1+C55),1.1)</f>
        <v>1.15</v>
      </c>
      <c r="D54" t="s">
        <v>65</v>
      </c>
      <c r="BE54" s="16" t="s">
        <v>92</v>
      </c>
      <c r="BF54" s="16">
        <f>IF(BR40=BG37,BO38+BR38+BU38,BR38)</f>
        <v>60</v>
      </c>
      <c r="BG54" s="16">
        <f>BY37</f>
        <v>40</v>
      </c>
      <c r="BH54" s="16">
        <f>BF54*BG54</f>
        <v>2400</v>
      </c>
      <c r="BI54" s="167">
        <f>CA34</f>
        <v>20</v>
      </c>
      <c r="BJ54" s="66">
        <f>BH54*BI54</f>
        <v>48000</v>
      </c>
      <c r="BK54" s="437"/>
      <c r="BL54" s="437"/>
      <c r="BM54" s="436">
        <f>BK53-BI54</f>
        <v>6.5</v>
      </c>
      <c r="BN54" s="436"/>
      <c r="BO54" s="436"/>
      <c r="BP54" s="436"/>
      <c r="BQ54" s="411">
        <f>BF54*BG54^3/12</f>
        <v>320000</v>
      </c>
      <c r="BR54" s="411"/>
      <c r="BS54" s="411"/>
      <c r="BT54" s="411"/>
      <c r="BU54" s="411">
        <f>BH54*BM54^2</f>
        <v>101400</v>
      </c>
      <c r="BV54" s="411"/>
      <c r="BW54" s="411"/>
      <c r="BX54" s="411"/>
      <c r="BY54" s="411">
        <f>BQ54+BU54</f>
        <v>421400</v>
      </c>
      <c r="BZ54" s="422"/>
      <c r="CA54" s="422"/>
      <c r="CB54" s="422"/>
      <c r="CC54" s="30"/>
    </row>
    <row r="55" spans="2:81" ht="14.25">
      <c r="B55" s="19" t="s">
        <v>300</v>
      </c>
      <c r="C55" s="82">
        <v>0.15</v>
      </c>
      <c r="BE55" s="2"/>
      <c r="BF55" s="2"/>
      <c r="BG55" s="2"/>
      <c r="BH55" s="16">
        <f>SUM(BH53:BH54)</f>
        <v>3375</v>
      </c>
      <c r="BI55" s="2"/>
      <c r="BJ55" s="66">
        <f>SUM(BJ53:BJ54)</f>
        <v>89437.5</v>
      </c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453">
        <f>IF($C$88&gt;0,BY53+BY54+CC53,BY53+BY54)</f>
        <v>1053031.25</v>
      </c>
      <c r="BZ55" s="453">
        <f>IF($C$88&gt;0,BZ53+BZ54+CE53,BZ53+BZ54)</f>
        <v>0</v>
      </c>
      <c r="CA55" s="453">
        <f>IF($C$88&gt;0,CA53+CA54+CF53,CA53+CA54)</f>
        <v>0</v>
      </c>
      <c r="CB55" s="453">
        <f>IF($C$88&gt;0,CB53+CB54+CG53,CB53+CB54)</f>
        <v>0</v>
      </c>
      <c r="CC55" s="453">
        <f>IF($C$88&gt;0,CC53+CC54+CH53,CC53+CC54)</f>
        <v>380000</v>
      </c>
    </row>
    <row r="56" spans="57:80" ht="12.75"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57:59" ht="14.25">
      <c r="BE57" s="19" t="s">
        <v>160</v>
      </c>
      <c r="BF57" s="198">
        <f>BY55</f>
        <v>1053031.25</v>
      </c>
      <c r="BG57" t="s">
        <v>78</v>
      </c>
    </row>
    <row r="59" spans="1:17" ht="15">
      <c r="A59" s="370" t="s">
        <v>147</v>
      </c>
      <c r="Q59" s="114" t="s">
        <v>112</v>
      </c>
    </row>
    <row r="61" spans="17:19" ht="12.75">
      <c r="Q61" s="479" t="s">
        <v>109</v>
      </c>
      <c r="R61" s="116">
        <f>AA48</f>
        <v>90</v>
      </c>
      <c r="S61">
        <f>R61/R62</f>
        <v>0.10948905109489052</v>
      </c>
    </row>
    <row r="62" spans="17:18" ht="12.75">
      <c r="Q62" s="480"/>
      <c r="R62" s="54">
        <f>AI50</f>
        <v>822</v>
      </c>
    </row>
    <row r="63" spans="17:19" ht="12.75">
      <c r="Q63" s="479" t="s">
        <v>110</v>
      </c>
      <c r="R63" s="116">
        <f>AS48</f>
        <v>90</v>
      </c>
      <c r="S63">
        <f>R63/R64</f>
        <v>0.10948905109489052</v>
      </c>
    </row>
    <row r="64" spans="7:18" ht="12.75">
      <c r="G64" s="460" t="s">
        <v>68</v>
      </c>
      <c r="H64" s="460"/>
      <c r="I64" s="460"/>
      <c r="J64" s="460"/>
      <c r="K64" s="460"/>
      <c r="L64" s="460"/>
      <c r="M64" s="7"/>
      <c r="N64" s="7"/>
      <c r="Q64" s="480"/>
      <c r="R64" s="54">
        <f>AI50</f>
        <v>822</v>
      </c>
    </row>
    <row r="65" spans="6:57" ht="22.5">
      <c r="F65" s="72">
        <f aca="true" t="shared" si="0" ref="F65:K65">F67/2+G67/2</f>
        <v>0</v>
      </c>
      <c r="G65" s="72">
        <v>180</v>
      </c>
      <c r="H65" s="72">
        <f t="shared" si="0"/>
        <v>0</v>
      </c>
      <c r="I65" s="72">
        <f t="shared" si="0"/>
        <v>411</v>
      </c>
      <c r="J65" s="72">
        <f t="shared" si="0"/>
        <v>688.5</v>
      </c>
      <c r="K65" s="72">
        <f t="shared" si="0"/>
        <v>327.5</v>
      </c>
      <c r="L65" s="72">
        <v>180</v>
      </c>
      <c r="M65" s="143"/>
      <c r="N65" s="143"/>
      <c r="Q65" s="481" t="s">
        <v>111</v>
      </c>
      <c r="BE65" s="481" t="s">
        <v>111</v>
      </c>
    </row>
    <row r="66" spans="7:58" ht="12.75">
      <c r="G66" s="424" t="s">
        <v>66</v>
      </c>
      <c r="H66" s="425"/>
      <c r="I66" s="425"/>
      <c r="J66" s="425"/>
      <c r="K66" s="425"/>
      <c r="L66" s="426"/>
      <c r="M66" s="7"/>
      <c r="N66" s="7"/>
      <c r="Q66" s="427"/>
      <c r="R66">
        <f>($S$61+$S$63)/2</f>
        <v>0.10948905109489052</v>
      </c>
      <c r="BE66" s="427"/>
      <c r="BF66">
        <f>($S$61+$S$63)/2</f>
        <v>0.10948905109489052</v>
      </c>
    </row>
    <row r="67" spans="7:14" ht="12.75">
      <c r="G67" s="35">
        <v>0</v>
      </c>
      <c r="H67" s="35">
        <v>0</v>
      </c>
      <c r="I67" s="35">
        <v>0</v>
      </c>
      <c r="J67" s="35">
        <v>822</v>
      </c>
      <c r="K67" s="35">
        <v>555</v>
      </c>
      <c r="L67" s="35">
        <v>100</v>
      </c>
      <c r="M67" s="23"/>
      <c r="N67" s="23"/>
    </row>
    <row r="68" spans="3:93" ht="14.25">
      <c r="C68" s="70">
        <f aca="true" t="shared" si="1" ref="C68:C74">E68/2+E69/2</f>
        <v>90</v>
      </c>
      <c r="G68" s="1"/>
      <c r="H68" s="1"/>
      <c r="I68" s="1"/>
      <c r="J68" s="1"/>
      <c r="K68" s="1"/>
      <c r="L68" s="1"/>
      <c r="M68" s="1"/>
      <c r="N68" s="1"/>
      <c r="O68" s="74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1"/>
      <c r="AU68" s="1"/>
      <c r="AV68" s="1"/>
      <c r="AW68" s="1"/>
      <c r="AX68" s="1"/>
      <c r="AY68" s="1"/>
      <c r="AZ68" s="1"/>
      <c r="BA68" s="1"/>
      <c r="CM68" s="1"/>
      <c r="CN68" s="1"/>
      <c r="CO68" s="1"/>
    </row>
    <row r="69" spans="2:93" ht="31.5" customHeight="1" thickBot="1">
      <c r="B69" s="457" t="s">
        <v>68</v>
      </c>
      <c r="C69" s="70">
        <f t="shared" si="1"/>
        <v>370</v>
      </c>
      <c r="D69" s="454" t="s">
        <v>67</v>
      </c>
      <c r="E69" s="68">
        <v>180</v>
      </c>
      <c r="G69" s="145"/>
      <c r="H69" s="146"/>
      <c r="I69" s="146"/>
      <c r="J69" s="146"/>
      <c r="K69" s="146"/>
      <c r="L69" s="147"/>
      <c r="M69" s="74">
        <v>5</v>
      </c>
      <c r="N69" s="1"/>
      <c r="Q69" s="125" t="s">
        <v>18</v>
      </c>
      <c r="R69" s="126" t="s">
        <v>113</v>
      </c>
      <c r="S69" s="127"/>
      <c r="T69" s="127"/>
      <c r="AB69" s="5"/>
      <c r="AC69" s="152" t="s">
        <v>122</v>
      </c>
      <c r="AD69" s="416">
        <f>J52*(H81/100)</f>
        <v>7005.599999999999</v>
      </c>
      <c r="AE69" s="416"/>
      <c r="AF69" s="416"/>
      <c r="AG69" s="419" t="s">
        <v>14</v>
      </c>
      <c r="AH69" s="419"/>
      <c r="AI69" s="200">
        <f>$BG$21</f>
        <v>0.32894736842105265</v>
      </c>
      <c r="AJ69" s="202">
        <v>0.5</v>
      </c>
      <c r="AK69" s="200">
        <f>$BG$21</f>
        <v>0.32894736842105265</v>
      </c>
      <c r="AL69" s="202">
        <v>0.5</v>
      </c>
      <c r="AM69" s="200">
        <f>$BG$21</f>
        <v>0.32894736842105265</v>
      </c>
      <c r="AN69" s="202">
        <v>0.5</v>
      </c>
      <c r="AO69" s="200">
        <f>$BG$21</f>
        <v>0.32894736842105265</v>
      </c>
      <c r="AP69" s="202">
        <v>0.5</v>
      </c>
      <c r="AQ69" s="200">
        <f>$BG$21</f>
        <v>0.32894736842105265</v>
      </c>
      <c r="AR69" s="202">
        <v>0.5</v>
      </c>
      <c r="AS69" s="28"/>
      <c r="AT69" s="1"/>
      <c r="AU69" s="1" t="s">
        <v>7</v>
      </c>
      <c r="AV69" s="420">
        <f>O6</f>
        <v>3.8</v>
      </c>
      <c r="AW69" s="421"/>
      <c r="AX69" s="421"/>
      <c r="AY69" s="1" t="s">
        <v>1</v>
      </c>
      <c r="AZ69" s="1"/>
      <c r="BA69" s="1"/>
      <c r="BE69" s="125" t="s">
        <v>18</v>
      </c>
      <c r="BF69" s="126" t="s">
        <v>113</v>
      </c>
      <c r="BG69" s="127"/>
      <c r="BH69" s="127"/>
      <c r="CM69" s="1"/>
      <c r="CN69" s="1"/>
      <c r="CO69" s="1"/>
    </row>
    <row r="70" spans="2:93" ht="31.5" customHeight="1" thickBot="1">
      <c r="B70" s="457"/>
      <c r="C70" s="71">
        <f t="shared" si="1"/>
        <v>560</v>
      </c>
      <c r="D70" s="454"/>
      <c r="E70" s="68">
        <v>560</v>
      </c>
      <c r="G70" s="142"/>
      <c r="H70" s="67"/>
      <c r="I70" s="67"/>
      <c r="J70" s="67"/>
      <c r="K70" s="67"/>
      <c r="L70" s="141"/>
      <c r="M70" s="74">
        <v>4</v>
      </c>
      <c r="N70" s="1"/>
      <c r="Q70" s="119" t="s">
        <v>116</v>
      </c>
      <c r="R70" s="120">
        <f>((1/3)-R66+R66^2-(2/3)*R66^3)/(AN22/10000)</f>
        <v>0.0012230364789322548</v>
      </c>
      <c r="S70" s="40" t="s">
        <v>12</v>
      </c>
      <c r="T70" s="123">
        <f>(R66-R66^2+(2/3)*R66^3)/(C98/10000)</f>
        <v>0.0013491596503030564</v>
      </c>
      <c r="V70" s="36" t="s">
        <v>5</v>
      </c>
      <c r="W70" s="455">
        <f>R70+T70</f>
        <v>0.0025721961292353114</v>
      </c>
      <c r="X70" s="455"/>
      <c r="Y70" s="455"/>
      <c r="Z70" s="455"/>
      <c r="AA70" s="122" t="s">
        <v>21</v>
      </c>
      <c r="AG70" s="151"/>
      <c r="AH70" s="418">
        <v>0</v>
      </c>
      <c r="AI70" s="478"/>
      <c r="AJ70" s="430">
        <f>U77</f>
        <v>0.5498955570704683</v>
      </c>
      <c r="AK70" s="415"/>
      <c r="AL70" s="430">
        <f>U77</f>
        <v>0.5498955570704683</v>
      </c>
      <c r="AM70" s="415"/>
      <c r="AN70" s="430">
        <f>U77</f>
        <v>0.5498955570704683</v>
      </c>
      <c r="AO70" s="415"/>
      <c r="AP70" s="430">
        <f>U77</f>
        <v>0.5498955570704683</v>
      </c>
      <c r="AQ70" s="415"/>
      <c r="AR70" s="417">
        <v>0</v>
      </c>
      <c r="AS70" s="418"/>
      <c r="AT70" s="1"/>
      <c r="AU70" s="1"/>
      <c r="AV70" s="1"/>
      <c r="AW70" s="1"/>
      <c r="AX70" s="1"/>
      <c r="AY70" s="1"/>
      <c r="AZ70" s="1"/>
      <c r="BA70" s="1"/>
      <c r="BE70" s="119" t="s">
        <v>116</v>
      </c>
      <c r="BF70" s="120">
        <f>((1/3)-BF66+BF66^2-(2/3)*BF66^3)/(BF57/10000)</f>
        <v>0.002231245357932814</v>
      </c>
      <c r="BG70" s="40" t="s">
        <v>12</v>
      </c>
      <c r="BH70" s="123">
        <f>(BF66-BF66^2+(2/3)*BF66^3)/(BF47/10000)</f>
        <v>0.0006643535262299176</v>
      </c>
      <c r="BJ70" s="36" t="s">
        <v>5</v>
      </c>
      <c r="BK70" s="455">
        <f>BF70+BH70</f>
        <v>0.0028955988841627314</v>
      </c>
      <c r="BL70" s="455"/>
      <c r="BM70" s="455"/>
      <c r="BN70" s="455"/>
      <c r="BO70" s="122" t="s">
        <v>21</v>
      </c>
      <c r="CM70" s="1"/>
      <c r="CN70" s="1"/>
      <c r="CO70" s="1"/>
    </row>
    <row r="71" spans="2:93" ht="31.5" customHeight="1" thickBot="1">
      <c r="B71" s="457"/>
      <c r="C71" s="71">
        <f t="shared" si="1"/>
        <v>520</v>
      </c>
      <c r="D71" s="454"/>
      <c r="E71" s="68">
        <v>560</v>
      </c>
      <c r="G71" s="142"/>
      <c r="H71" s="67"/>
      <c r="I71" s="67"/>
      <c r="J71" s="67"/>
      <c r="K71" s="67"/>
      <c r="L71" s="141"/>
      <c r="M71" s="74">
        <v>3</v>
      </c>
      <c r="N71" s="1"/>
      <c r="X71" s="448" t="s">
        <v>117</v>
      </c>
      <c r="Y71" s="448"/>
      <c r="AH71" s="429">
        <v>0</v>
      </c>
      <c r="AI71" s="472"/>
      <c r="AJ71" s="470">
        <f>T80</f>
        <v>0.37404547018566564</v>
      </c>
      <c r="AK71" s="471"/>
      <c r="AL71" s="470">
        <f>T80</f>
        <v>0.37404547018566564</v>
      </c>
      <c r="AM71" s="472"/>
      <c r="AN71" s="470">
        <f>T80</f>
        <v>0.37404547018566564</v>
      </c>
      <c r="AO71" s="472"/>
      <c r="AP71" s="470">
        <f>T80</f>
        <v>0.37404547018566564</v>
      </c>
      <c r="AQ71" s="472"/>
      <c r="AR71" s="428">
        <v>0</v>
      </c>
      <c r="AS71" s="429"/>
      <c r="AT71" s="1"/>
      <c r="AU71" s="1"/>
      <c r="AV71" s="1"/>
      <c r="AW71" s="1"/>
      <c r="AX71" s="1"/>
      <c r="AY71" s="1"/>
      <c r="AZ71" s="1"/>
      <c r="BA71" s="1"/>
      <c r="BL71" s="448" t="s">
        <v>117</v>
      </c>
      <c r="BM71" s="448"/>
      <c r="CM71" s="1"/>
      <c r="CN71" s="1"/>
      <c r="CO71" s="1"/>
    </row>
    <row r="72" spans="2:92" ht="31.5" customHeight="1" thickBot="1">
      <c r="B72" s="457"/>
      <c r="C72" s="71">
        <f t="shared" si="1"/>
        <v>240</v>
      </c>
      <c r="D72" s="454"/>
      <c r="E72" s="68">
        <v>480</v>
      </c>
      <c r="G72" s="142"/>
      <c r="H72" s="67"/>
      <c r="I72" s="67"/>
      <c r="J72" s="67"/>
      <c r="K72" s="67"/>
      <c r="L72" s="141"/>
      <c r="M72" s="74">
        <v>2</v>
      </c>
      <c r="N72" s="1"/>
      <c r="Q72" s="119" t="s">
        <v>118</v>
      </c>
      <c r="R72" s="121">
        <f>((1/6)-R66^2+(2/3)*R66^3)/(AN22/10000)</f>
        <v>0.0008097138315712717</v>
      </c>
      <c r="S72" s="40" t="s">
        <v>12</v>
      </c>
      <c r="T72" s="124">
        <f>(R66^2-(2/3)*R66^3)/(C98/10000)</f>
        <v>0.0001524044789982995</v>
      </c>
      <c r="V72" s="36" t="s">
        <v>5</v>
      </c>
      <c r="W72" s="455">
        <f>R72+T72</f>
        <v>0.0009621183105695712</v>
      </c>
      <c r="X72" s="455"/>
      <c r="Y72" s="455"/>
      <c r="Z72" s="455"/>
      <c r="AA72" s="122" t="s">
        <v>21</v>
      </c>
      <c r="AI72" s="201">
        <f>$BG$9</f>
        <v>0.32894736842105265</v>
      </c>
      <c r="AJ72" s="202">
        <v>0.5</v>
      </c>
      <c r="AK72" s="201">
        <f>$BG$9</f>
        <v>0.32894736842105265</v>
      </c>
      <c r="AL72" s="202">
        <v>0.5</v>
      </c>
      <c r="AM72" s="201">
        <f>$BG$9</f>
        <v>0.32894736842105265</v>
      </c>
      <c r="AN72" s="202">
        <v>0.5</v>
      </c>
      <c r="AO72" s="201">
        <f>$BG$9</f>
        <v>0.32894736842105265</v>
      </c>
      <c r="AP72" s="202">
        <v>0.5</v>
      </c>
      <c r="AQ72" s="201">
        <f>$BG$9</f>
        <v>0.32894736842105265</v>
      </c>
      <c r="AR72" s="202">
        <v>0.5</v>
      </c>
      <c r="AS72" s="1"/>
      <c r="AT72" s="1"/>
      <c r="AU72" s="1" t="s">
        <v>7</v>
      </c>
      <c r="AV72" s="420">
        <f>O5</f>
        <v>3.8</v>
      </c>
      <c r="AW72" s="421"/>
      <c r="AX72" s="421"/>
      <c r="AY72" s="1" t="s">
        <v>1</v>
      </c>
      <c r="AZ72" s="1"/>
      <c r="BE72" s="119" t="s">
        <v>118</v>
      </c>
      <c r="BF72" s="121">
        <f>((1/6)-BF66^2+(2/3)*BF66^3)/(BF57/10000)</f>
        <v>0.001477200606088762</v>
      </c>
      <c r="BG72" s="40" t="s">
        <v>12</v>
      </c>
      <c r="BH72" s="124">
        <f>(BF66^2-(2/3)*BF66^3)/(BF47/10000)</f>
        <v>7.504705096465803E-05</v>
      </c>
      <c r="BJ72" s="36" t="s">
        <v>5</v>
      </c>
      <c r="BK72" s="455">
        <f>BF72+BH72</f>
        <v>0.00155224765705342</v>
      </c>
      <c r="BL72" s="455"/>
      <c r="BM72" s="455"/>
      <c r="BN72" s="455"/>
      <c r="BO72" s="122" t="s">
        <v>21</v>
      </c>
      <c r="CM72" s="1"/>
      <c r="CN72" s="1"/>
    </row>
    <row r="73" spans="2:65" ht="31.5" customHeight="1" thickBot="1">
      <c r="B73" s="457"/>
      <c r="C73" s="71">
        <f t="shared" si="1"/>
        <v>90</v>
      </c>
      <c r="D73" s="454"/>
      <c r="E73" s="68">
        <v>0</v>
      </c>
      <c r="G73" s="142"/>
      <c r="H73" s="67"/>
      <c r="I73" s="67"/>
      <c r="J73" s="67"/>
      <c r="K73" s="67"/>
      <c r="L73" s="141"/>
      <c r="M73" s="74">
        <v>1</v>
      </c>
      <c r="N73" s="1"/>
      <c r="X73" s="448" t="s">
        <v>117</v>
      </c>
      <c r="Y73" s="448"/>
      <c r="AJ73" s="144" t="s">
        <v>4</v>
      </c>
      <c r="AK73" s="80"/>
      <c r="AL73" s="144" t="s">
        <v>6</v>
      </c>
      <c r="AM73" s="80"/>
      <c r="AN73" s="144" t="s">
        <v>70</v>
      </c>
      <c r="AO73" s="80"/>
      <c r="AP73" s="144" t="s">
        <v>71</v>
      </c>
      <c r="AQ73" s="80"/>
      <c r="AR73" s="144" t="s">
        <v>72</v>
      </c>
      <c r="BL73" s="448" t="s">
        <v>117</v>
      </c>
      <c r="BM73" s="448"/>
    </row>
    <row r="74" spans="2:59" ht="31.5" customHeight="1">
      <c r="B74" s="457"/>
      <c r="C74" s="71">
        <f t="shared" si="1"/>
        <v>90</v>
      </c>
      <c r="D74" s="454"/>
      <c r="E74" s="68">
        <v>180</v>
      </c>
      <c r="G74" s="148"/>
      <c r="H74" s="149"/>
      <c r="I74" s="149"/>
      <c r="J74" s="149"/>
      <c r="K74" s="149"/>
      <c r="L74" s="150"/>
      <c r="M74" s="1"/>
      <c r="N74" s="1"/>
      <c r="O74" s="74"/>
      <c r="Q74" s="128" t="s">
        <v>18</v>
      </c>
      <c r="R74" s="129">
        <f>$W$70/($W$70^2-$W$72^2)</f>
        <v>452.01414791192497</v>
      </c>
      <c r="S74" s="69" t="s">
        <v>119</v>
      </c>
      <c r="BE74" s="128" t="s">
        <v>18</v>
      </c>
      <c r="BF74" s="129">
        <f>BK70/(BK70^2-BK72^2)</f>
        <v>484.6174291087263</v>
      </c>
      <c r="BG74" s="69" t="s">
        <v>119</v>
      </c>
    </row>
    <row r="75" spans="6:59" ht="15.75">
      <c r="F75" s="1"/>
      <c r="G75" s="25"/>
      <c r="H75" s="171" t="s">
        <v>4</v>
      </c>
      <c r="I75" s="171" t="s">
        <v>6</v>
      </c>
      <c r="J75" s="171" t="s">
        <v>70</v>
      </c>
      <c r="K75" s="171" t="s">
        <v>71</v>
      </c>
      <c r="L75" s="171" t="s">
        <v>72</v>
      </c>
      <c r="M75" s="25"/>
      <c r="N75" s="25"/>
      <c r="O75" s="25"/>
      <c r="S75" s="130" t="s">
        <v>21</v>
      </c>
      <c r="AK75" s="456" t="s">
        <v>121</v>
      </c>
      <c r="AL75" s="456"/>
      <c r="AM75" s="456"/>
      <c r="AN75" s="456"/>
      <c r="AO75" s="456"/>
      <c r="AP75" s="456"/>
      <c r="BG75" s="130" t="s">
        <v>21</v>
      </c>
    </row>
    <row r="76" spans="6:59" ht="12.75">
      <c r="F76" s="1"/>
      <c r="S76" s="1"/>
      <c r="BG76" s="1"/>
    </row>
    <row r="77" spans="6:65" ht="16.5">
      <c r="F77" s="1"/>
      <c r="G77" s="456" t="s">
        <v>69</v>
      </c>
      <c r="H77" s="456"/>
      <c r="I77" s="456"/>
      <c r="J77" s="456"/>
      <c r="K77" s="456"/>
      <c r="L77" s="456"/>
      <c r="M77" s="134"/>
      <c r="N77" s="134"/>
      <c r="O77" s="1"/>
      <c r="Q77" s="131" t="s">
        <v>18</v>
      </c>
      <c r="R77" s="129">
        <f>$W$70/($W$70^2-$W$72^2)</f>
        <v>452.01414791192497</v>
      </c>
      <c r="S77" s="69" t="s">
        <v>119</v>
      </c>
      <c r="T77" s="40" t="s">
        <v>5</v>
      </c>
      <c r="U77" s="450">
        <f>R77/R78</f>
        <v>0.5498955570704683</v>
      </c>
      <c r="V77" s="450"/>
      <c r="W77" s="450"/>
      <c r="X77" s="3" t="s">
        <v>119</v>
      </c>
      <c r="Y77" s="10"/>
      <c r="BE77" s="131" t="s">
        <v>18</v>
      </c>
      <c r="BF77" s="129">
        <f>BK70/(BK70^2-BK72^2)</f>
        <v>484.6174291087263</v>
      </c>
      <c r="BG77" s="69" t="s">
        <v>119</v>
      </c>
      <c r="BH77" s="40" t="s">
        <v>5</v>
      </c>
      <c r="BI77" s="234">
        <f>BF77/BF78</f>
        <v>0.5895589161906646</v>
      </c>
      <c r="BJ77" s="3" t="s">
        <v>119</v>
      </c>
      <c r="BK77" s="168"/>
      <c r="BM77" s="10"/>
    </row>
    <row r="78" spans="6:64" ht="12.75">
      <c r="F78" s="1"/>
      <c r="G78" s="1"/>
      <c r="H78" s="1"/>
      <c r="I78" s="1"/>
      <c r="J78" s="1"/>
      <c r="K78" s="1"/>
      <c r="L78" s="1"/>
      <c r="M78" s="1"/>
      <c r="N78" s="1"/>
      <c r="O78" s="1"/>
      <c r="R78" s="449">
        <f>AI50</f>
        <v>822</v>
      </c>
      <c r="S78" s="449"/>
      <c r="X78" s="1"/>
      <c r="BF78" s="449">
        <f>AI50</f>
        <v>822</v>
      </c>
      <c r="BG78" s="449"/>
      <c r="BL78" s="1"/>
    </row>
    <row r="79" spans="6:15" ht="12.75"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6:60" ht="16.5">
      <c r="F80" s="1"/>
      <c r="G80" s="1"/>
      <c r="H80" s="1"/>
      <c r="I80" s="1"/>
      <c r="J80" s="1"/>
      <c r="K80" s="1"/>
      <c r="L80" s="1"/>
      <c r="M80" s="1"/>
      <c r="N80" s="1"/>
      <c r="O80" s="1"/>
      <c r="Q80" s="131" t="s">
        <v>120</v>
      </c>
      <c r="R80" s="132">
        <f>W72</f>
        <v>0.0009621183105695712</v>
      </c>
      <c r="S80" s="40" t="s">
        <v>5</v>
      </c>
      <c r="T80" s="133">
        <f>R80/R81</f>
        <v>0.37404547018566564</v>
      </c>
      <c r="BE80" s="131" t="s">
        <v>120</v>
      </c>
      <c r="BF80" s="132">
        <f>BK72</f>
        <v>0.00155224765705342</v>
      </c>
      <c r="BG80" s="40" t="s">
        <v>5</v>
      </c>
      <c r="BH80" s="133">
        <f>BF80/BF81</f>
        <v>0.5360713687048736</v>
      </c>
    </row>
    <row r="81" spans="2:58" ht="14.25">
      <c r="B81" s="176" t="s">
        <v>149</v>
      </c>
      <c r="F81" s="1"/>
      <c r="H81" s="73">
        <f>MAX(C68:C74)</f>
        <v>560</v>
      </c>
      <c r="I81" s="1" t="s">
        <v>3</v>
      </c>
      <c r="J81" t="s">
        <v>73</v>
      </c>
      <c r="K81" s="76">
        <f>MAX(CP26:CP31)</f>
        <v>4</v>
      </c>
      <c r="L81" s="1"/>
      <c r="N81" s="1"/>
      <c r="O81" s="1"/>
      <c r="R81" s="123">
        <f>W70</f>
        <v>0.0025721961292353114</v>
      </c>
      <c r="BF81" s="123">
        <f>BK70</f>
        <v>0.0028955988841627314</v>
      </c>
    </row>
    <row r="82" spans="6:15" ht="12.75">
      <c r="F82" s="1"/>
      <c r="G82" s="1"/>
      <c r="H82" s="1"/>
      <c r="I82" s="1"/>
      <c r="L82" s="1"/>
      <c r="M82" s="1"/>
      <c r="N82" s="1"/>
      <c r="O82" s="1"/>
    </row>
    <row r="83" spans="3:12" ht="14.25">
      <c r="C83" s="61" t="s">
        <v>86</v>
      </c>
      <c r="D83" s="69">
        <f>K81</f>
        <v>4</v>
      </c>
      <c r="L83" t="s">
        <v>104</v>
      </c>
    </row>
    <row r="84" spans="6:81" ht="12.75">
      <c r="F84" s="83"/>
      <c r="J84" s="30"/>
      <c r="K84" s="97"/>
      <c r="L84" s="42" t="s">
        <v>76</v>
      </c>
      <c r="M84" s="87">
        <f>G10*100</f>
        <v>45</v>
      </c>
      <c r="Q84" s="114" t="s">
        <v>123</v>
      </c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2:81" ht="12.75">
      <c r="B85" s="19" t="s">
        <v>80</v>
      </c>
      <c r="C85" s="41">
        <v>60</v>
      </c>
      <c r="D85" t="s">
        <v>3</v>
      </c>
      <c r="E85" t="s">
        <v>219</v>
      </c>
      <c r="K85" s="78"/>
      <c r="BF85" s="1"/>
      <c r="BG85" s="4"/>
      <c r="BH85" s="474"/>
      <c r="BI85" s="474"/>
      <c r="BJ85" s="474"/>
      <c r="BK85" s="3"/>
      <c r="BL85" s="485">
        <f>$BI$18</f>
        <v>0.6578947368421053</v>
      </c>
      <c r="BM85" s="487">
        <f>0.5</f>
        <v>0.5</v>
      </c>
      <c r="BN85" s="485">
        <f>$BI$18</f>
        <v>0.6578947368421053</v>
      </c>
      <c r="BO85" s="487">
        <f>0.5</f>
        <v>0.5</v>
      </c>
      <c r="BP85" s="485">
        <f>$BI$18</f>
        <v>0.6578947368421053</v>
      </c>
      <c r="BQ85" s="487">
        <f>0.5</f>
        <v>0.5</v>
      </c>
      <c r="BR85" s="485">
        <f>$BI$18</f>
        <v>0.6578947368421053</v>
      </c>
      <c r="BS85" s="487">
        <f>0.5</f>
        <v>0.5</v>
      </c>
      <c r="BT85" s="485">
        <f>$BI$18</f>
        <v>0.6578947368421053</v>
      </c>
      <c r="BU85" s="487">
        <f>0.5</f>
        <v>0.5</v>
      </c>
      <c r="BV85" s="203"/>
      <c r="BW85" s="203"/>
      <c r="BX85" s="203"/>
      <c r="BY85" s="203"/>
      <c r="BZ85" s="23"/>
      <c r="CA85" s="23"/>
      <c r="CB85" s="23"/>
      <c r="CC85" s="1"/>
    </row>
    <row r="86" spans="2:81" ht="15">
      <c r="B86" s="19" t="s">
        <v>82</v>
      </c>
      <c r="C86" s="82">
        <v>30</v>
      </c>
      <c r="D86" t="s">
        <v>3</v>
      </c>
      <c r="E86" t="s">
        <v>220</v>
      </c>
      <c r="K86" s="81" t="s">
        <v>77</v>
      </c>
      <c r="L86" s="87">
        <f>C85-M84</f>
        <v>15</v>
      </c>
      <c r="Q86" s="451" t="s">
        <v>124</v>
      </c>
      <c r="R86" s="452" t="s">
        <v>125</v>
      </c>
      <c r="S86" s="452"/>
      <c r="BF86" s="1"/>
      <c r="BG86" s="1"/>
      <c r="BH86" s="152" t="s">
        <v>122</v>
      </c>
      <c r="BI86" s="116">
        <f>J53*(H81/100)</f>
        <v>8056.439999999999</v>
      </c>
      <c r="BJ86" s="5" t="s">
        <v>14</v>
      </c>
      <c r="BK86" s="11"/>
      <c r="BL86" s="486"/>
      <c r="BM86" s="487"/>
      <c r="BN86" s="486"/>
      <c r="BO86" s="487"/>
      <c r="BP86" s="486"/>
      <c r="BQ86" s="487"/>
      <c r="BR86" s="486"/>
      <c r="BS86" s="487"/>
      <c r="BT86" s="486"/>
      <c r="BU86" s="487"/>
      <c r="BV86" s="174"/>
      <c r="BW86" s="174"/>
      <c r="BX86" s="1" t="s">
        <v>7</v>
      </c>
      <c r="BY86" s="421">
        <f>AV69</f>
        <v>3.8</v>
      </c>
      <c r="BZ86" s="421"/>
      <c r="CA86" s="421"/>
      <c r="CB86" s="203"/>
      <c r="CC86" s="1"/>
    </row>
    <row r="87" spans="11:81" ht="15">
      <c r="K87" s="24"/>
      <c r="Q87" s="451"/>
      <c r="R87" s="153" t="s">
        <v>126</v>
      </c>
      <c r="S87" s="153" t="s">
        <v>127</v>
      </c>
      <c r="BF87" s="1"/>
      <c r="BG87" s="1"/>
      <c r="BH87" s="1"/>
      <c r="BI87" s="1"/>
      <c r="BJ87" s="1"/>
      <c r="BK87" s="203"/>
      <c r="BL87" s="169"/>
      <c r="BM87" s="206"/>
      <c r="BN87" s="207"/>
      <c r="BO87" s="170"/>
      <c r="BP87" s="170"/>
      <c r="BQ87" s="206"/>
      <c r="BR87" s="207"/>
      <c r="BS87" s="169"/>
      <c r="BT87" s="170"/>
      <c r="BU87" s="206"/>
      <c r="BV87" s="169"/>
      <c r="BW87" s="169"/>
      <c r="BX87" s="203"/>
      <c r="BY87" s="203"/>
      <c r="BZ87" s="203"/>
      <c r="CA87" s="203"/>
      <c r="CB87" s="203"/>
      <c r="CC87" s="1"/>
    </row>
    <row r="88" spans="2:81" ht="14.25">
      <c r="B88" s="96" t="s">
        <v>103</v>
      </c>
      <c r="C88" s="447">
        <f>((C86*C85^3)/12)-((AJ11*(AY10+AZ9)^3)/12)</f>
        <v>380000</v>
      </c>
      <c r="D88" s="447"/>
      <c r="E88" s="10" t="s">
        <v>78</v>
      </c>
      <c r="K88" s="84">
        <f>C86</f>
        <v>30</v>
      </c>
      <c r="M88" s="1"/>
      <c r="N88" s="76"/>
      <c r="BF88" s="1"/>
      <c r="BG88" s="1"/>
      <c r="BH88" s="1"/>
      <c r="BI88" s="1"/>
      <c r="BJ88" s="1"/>
      <c r="BK88" s="494">
        <v>0</v>
      </c>
      <c r="BL88" s="495"/>
      <c r="BM88" s="496">
        <f>BI77</f>
        <v>0.5895589161906646</v>
      </c>
      <c r="BN88" s="495"/>
      <c r="BO88" s="496">
        <f>BI77</f>
        <v>0.5895589161906646</v>
      </c>
      <c r="BP88" s="495"/>
      <c r="BQ88" s="496">
        <f>BI77</f>
        <v>0.5895589161906646</v>
      </c>
      <c r="BR88" s="495"/>
      <c r="BS88" s="496">
        <f>BI77</f>
        <v>0.5895589161906646</v>
      </c>
      <c r="BT88" s="495"/>
      <c r="BU88" s="496">
        <v>0</v>
      </c>
      <c r="BV88" s="494"/>
      <c r="BW88" s="208"/>
      <c r="BX88" s="203"/>
      <c r="BY88" s="203"/>
      <c r="BZ88" s="23"/>
      <c r="CA88" s="23"/>
      <c r="CB88" s="23"/>
      <c r="CC88" s="1"/>
    </row>
    <row r="89" spans="10:81" ht="14.25">
      <c r="J89" s="1"/>
      <c r="K89" s="76"/>
      <c r="Q89" s="154" t="s">
        <v>128</v>
      </c>
      <c r="R89" s="155">
        <f>(1-(6*R66^2)+4*R66^3)/(AN22/10000)</f>
        <v>0.00485828298942763</v>
      </c>
      <c r="S89" s="40" t="s">
        <v>12</v>
      </c>
      <c r="T89" s="37">
        <f>(6*R66^2-4*R66^3)/(C98/10000)</f>
        <v>0.0009144268739897969</v>
      </c>
      <c r="U89" s="36" t="s">
        <v>5</v>
      </c>
      <c r="V89" s="469">
        <f>R89+T89</f>
        <v>0.005772709863417427</v>
      </c>
      <c r="W89" s="469"/>
      <c r="X89" s="469"/>
      <c r="Y89" s="469"/>
      <c r="Z89" s="469"/>
      <c r="AA89" s="469"/>
      <c r="AB89" s="469"/>
      <c r="AC89" s="469"/>
      <c r="AD89" s="469"/>
      <c r="AF89" t="s">
        <v>19</v>
      </c>
      <c r="AG89" s="5" t="s">
        <v>129</v>
      </c>
      <c r="AH89" s="5"/>
      <c r="BF89" s="1"/>
      <c r="BG89" s="1"/>
      <c r="BH89" s="1"/>
      <c r="BI89" s="1"/>
      <c r="BJ89" s="1"/>
      <c r="BK89" s="493">
        <v>0</v>
      </c>
      <c r="BL89" s="492"/>
      <c r="BM89" s="491">
        <f>BH80</f>
        <v>0.5360713687048736</v>
      </c>
      <c r="BN89" s="492"/>
      <c r="BO89" s="491">
        <f>BH80</f>
        <v>0.5360713687048736</v>
      </c>
      <c r="BP89" s="492"/>
      <c r="BQ89" s="491">
        <f>BH80</f>
        <v>0.5360713687048736</v>
      </c>
      <c r="BR89" s="492"/>
      <c r="BS89" s="491">
        <f>BH80</f>
        <v>0.5360713687048736</v>
      </c>
      <c r="BT89" s="492"/>
      <c r="BU89" s="497">
        <v>0</v>
      </c>
      <c r="BV89" s="493"/>
      <c r="BW89" s="203"/>
      <c r="BX89" s="203"/>
      <c r="BY89" s="203"/>
      <c r="BZ89" s="203"/>
      <c r="CA89" s="203"/>
      <c r="CB89" s="203"/>
      <c r="CC89" s="1"/>
    </row>
    <row r="90" spans="22:81" ht="12.75">
      <c r="V90" s="475">
        <f>W70</f>
        <v>0.0025721961292353114</v>
      </c>
      <c r="W90" s="475"/>
      <c r="X90" s="475"/>
      <c r="Y90" s="475"/>
      <c r="Z90" s="40" t="s">
        <v>12</v>
      </c>
      <c r="AA90" s="468">
        <f>W72</f>
        <v>0.0009621183105695712</v>
      </c>
      <c r="AB90" s="468"/>
      <c r="AC90" s="468"/>
      <c r="AD90" s="468"/>
      <c r="AG90" s="427">
        <v>24</v>
      </c>
      <c r="AH90" s="427"/>
      <c r="BF90" s="1"/>
      <c r="BG90" s="1"/>
      <c r="BH90" s="1"/>
      <c r="BI90" s="1"/>
      <c r="BJ90" s="1"/>
      <c r="BK90" s="203"/>
      <c r="BL90" s="203"/>
      <c r="BM90" s="204"/>
      <c r="BN90" s="205"/>
      <c r="BO90" s="203"/>
      <c r="BP90" s="203"/>
      <c r="BQ90" s="204"/>
      <c r="BR90" s="205"/>
      <c r="BS90" s="203"/>
      <c r="BT90" s="203"/>
      <c r="BU90" s="204"/>
      <c r="BV90" s="203"/>
      <c r="BW90" s="203"/>
      <c r="BX90" s="203"/>
      <c r="BY90" s="203"/>
      <c r="BZ90" s="203"/>
      <c r="CA90" s="203"/>
      <c r="CB90" s="203"/>
      <c r="CC90" s="1"/>
    </row>
    <row r="91" spans="58:81" ht="12.75">
      <c r="BF91" s="1"/>
      <c r="BG91" s="1"/>
      <c r="BH91" s="1"/>
      <c r="BI91" s="1"/>
      <c r="BJ91" s="1"/>
      <c r="BK91" s="203"/>
      <c r="BL91" s="485">
        <f>$BI$6</f>
        <v>0.6578947368421053</v>
      </c>
      <c r="BM91" s="487">
        <f>0.5</f>
        <v>0.5</v>
      </c>
      <c r="BN91" s="485">
        <f>$BI$6</f>
        <v>0.6578947368421053</v>
      </c>
      <c r="BO91" s="487">
        <f>0.5</f>
        <v>0.5</v>
      </c>
      <c r="BP91" s="485">
        <f>$BI$6</f>
        <v>0.6578947368421053</v>
      </c>
      <c r="BQ91" s="487">
        <f>0.5</f>
        <v>0.5</v>
      </c>
      <c r="BR91" s="485">
        <f>$BI$6</f>
        <v>0.6578947368421053</v>
      </c>
      <c r="BS91" s="487">
        <f>0.5</f>
        <v>0.5</v>
      </c>
      <c r="BT91" s="485">
        <f>$BI$6</f>
        <v>0.6578947368421053</v>
      </c>
      <c r="BU91" s="487">
        <f>0.5</f>
        <v>0.5</v>
      </c>
      <c r="BV91" s="203"/>
      <c r="BW91" s="203"/>
      <c r="BX91" s="1" t="s">
        <v>7</v>
      </c>
      <c r="BY91" s="421">
        <f>AV72</f>
        <v>3.8</v>
      </c>
      <c r="BZ91" s="421"/>
      <c r="CA91" s="421"/>
      <c r="CB91" s="203"/>
      <c r="CC91" s="1"/>
    </row>
    <row r="92" spans="58:81" ht="12.75">
      <c r="BF92" s="1"/>
      <c r="BG92" s="1"/>
      <c r="BH92" s="1"/>
      <c r="BI92" s="1"/>
      <c r="BJ92" s="1"/>
      <c r="BK92" s="203"/>
      <c r="BL92" s="486"/>
      <c r="BM92" s="487"/>
      <c r="BN92" s="486"/>
      <c r="BO92" s="487"/>
      <c r="BP92" s="486"/>
      <c r="BQ92" s="487"/>
      <c r="BR92" s="486"/>
      <c r="BS92" s="487"/>
      <c r="BT92" s="486"/>
      <c r="BU92" s="487"/>
      <c r="BV92" s="203"/>
      <c r="BW92" s="203"/>
      <c r="BX92" s="203"/>
      <c r="BY92" s="203"/>
      <c r="BZ92" s="203"/>
      <c r="CA92" s="203"/>
      <c r="CB92" s="203"/>
      <c r="CC92" s="1"/>
    </row>
    <row r="93" spans="3:80" ht="15">
      <c r="C93" s="61" t="s">
        <v>85</v>
      </c>
      <c r="D93" s="69">
        <f>K81</f>
        <v>4</v>
      </c>
      <c r="Q93" s="451" t="s">
        <v>124</v>
      </c>
      <c r="R93" s="69" t="s">
        <v>129</v>
      </c>
      <c r="S93" s="40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</row>
    <row r="94" spans="17:80" ht="15">
      <c r="Q94" s="451"/>
      <c r="R94" s="21">
        <f>1/((V89/(V90+AA90))/24)</f>
        <v>14.693887023988054</v>
      </c>
      <c r="S94" s="2" t="s">
        <v>290</v>
      </c>
      <c r="T94" s="2">
        <v>12</v>
      </c>
      <c r="U94" t="s">
        <v>291</v>
      </c>
      <c r="BK94" s="58"/>
      <c r="BM94" s="144" t="s">
        <v>4</v>
      </c>
      <c r="BN94" s="80"/>
      <c r="BO94" s="144" t="s">
        <v>6</v>
      </c>
      <c r="BP94" s="80"/>
      <c r="BQ94" s="144" t="s">
        <v>70</v>
      </c>
      <c r="BR94" s="80"/>
      <c r="BS94" s="144" t="s">
        <v>71</v>
      </c>
      <c r="BT94" s="80"/>
      <c r="BU94" s="144" t="s">
        <v>72</v>
      </c>
      <c r="BV94" s="58"/>
      <c r="BW94" s="58"/>
      <c r="BX94" s="58"/>
      <c r="BY94" s="58"/>
      <c r="BZ94" s="58"/>
      <c r="CA94" s="58"/>
      <c r="CB94" s="58"/>
    </row>
    <row r="95" spans="2:80" ht="12.75">
      <c r="B95" s="19" t="s">
        <v>79</v>
      </c>
      <c r="C95" s="41">
        <v>25</v>
      </c>
      <c r="D95" t="s">
        <v>3</v>
      </c>
      <c r="I95" s="30"/>
      <c r="J95" s="85"/>
      <c r="K95" s="28"/>
      <c r="L95" s="33"/>
      <c r="M95" s="79" t="s">
        <v>76</v>
      </c>
      <c r="N95" s="88">
        <f>M84</f>
        <v>45</v>
      </c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</row>
    <row r="96" spans="2:13" ht="12.75">
      <c r="B96" s="19" t="s">
        <v>83</v>
      </c>
      <c r="C96" s="89">
        <f>H81</f>
        <v>560</v>
      </c>
      <c r="D96" t="s">
        <v>3</v>
      </c>
      <c r="J96" s="32" t="s">
        <v>81</v>
      </c>
      <c r="K96" s="5"/>
      <c r="L96" s="29"/>
      <c r="M96" s="88">
        <f>C95-N95</f>
        <v>-20</v>
      </c>
    </row>
    <row r="97" ht="12.75">
      <c r="K97" s="86">
        <f>C96</f>
        <v>560</v>
      </c>
    </row>
    <row r="98" spans="1:5" ht="14.25">
      <c r="A98" s="19" t="s">
        <v>155</v>
      </c>
      <c r="B98" s="19" t="s">
        <v>84</v>
      </c>
      <c r="C98" s="453">
        <f>(C96*C95^3)/12</f>
        <v>729166.6666666666</v>
      </c>
      <c r="D98" s="453"/>
      <c r="E98" s="10" t="s">
        <v>78</v>
      </c>
    </row>
    <row r="108" spans="10:12" ht="12.75">
      <c r="J108" s="1"/>
      <c r="K108" s="1"/>
      <c r="L108" s="1"/>
    </row>
    <row r="109" spans="11:12" ht="14.25">
      <c r="K109" s="76"/>
      <c r="L109" s="1"/>
    </row>
    <row r="110" ht="12.75">
      <c r="L110" s="1"/>
    </row>
    <row r="114" spans="8:14" ht="12.75">
      <c r="H114" s="1"/>
      <c r="I114" s="1"/>
      <c r="J114" s="1"/>
      <c r="K114" s="1"/>
      <c r="L114" s="1"/>
      <c r="M114" s="1"/>
      <c r="N114" s="1"/>
    </row>
    <row r="115" spans="2:14" ht="12.75">
      <c r="B115" s="4"/>
      <c r="C115" s="46"/>
      <c r="D115" s="1"/>
      <c r="E115" s="4"/>
      <c r="F115" s="7"/>
      <c r="G115" s="1"/>
      <c r="H115" s="1"/>
      <c r="I115" s="1"/>
      <c r="J115" s="1"/>
      <c r="K115" s="1"/>
      <c r="L115" s="1"/>
      <c r="M115" s="1"/>
      <c r="N115" s="1"/>
    </row>
    <row r="116" spans="2:70" ht="12.75">
      <c r="B116" s="4"/>
      <c r="C116" s="46"/>
      <c r="D116" s="1"/>
      <c r="E116" s="4"/>
      <c r="F116" s="7"/>
      <c r="G116" s="1"/>
      <c r="H116" s="1"/>
      <c r="I116" s="1"/>
      <c r="J116" s="1"/>
      <c r="K116" s="1"/>
      <c r="L116" s="1"/>
      <c r="M116" s="1"/>
      <c r="N116" s="1"/>
      <c r="BM116" s="1"/>
      <c r="BN116" s="7"/>
      <c r="BO116" s="1"/>
      <c r="BP116" s="1"/>
      <c r="BQ116" s="1"/>
      <c r="BR116" s="1"/>
    </row>
    <row r="117" spans="2:70" ht="12.75">
      <c r="B117" s="1"/>
      <c r="C117" s="1"/>
      <c r="D117" s="1"/>
      <c r="E117" s="4"/>
      <c r="F117" s="12"/>
      <c r="G117" s="1"/>
      <c r="H117" s="1"/>
      <c r="I117" s="1"/>
      <c r="BM117" s="4"/>
      <c r="BN117" s="7"/>
      <c r="BO117" s="1"/>
      <c r="BP117" s="1"/>
      <c r="BQ117" s="1"/>
      <c r="BR117" s="1"/>
    </row>
    <row r="118" spans="2:70" ht="12.75">
      <c r="B118" s="1"/>
      <c r="C118" s="1"/>
      <c r="D118" s="90"/>
      <c r="E118" s="1"/>
      <c r="F118" s="1"/>
      <c r="G118" s="1"/>
      <c r="H118" s="1"/>
      <c r="I118" s="1"/>
      <c r="BM118" s="4"/>
      <c r="BN118" s="94"/>
      <c r="BO118" s="1"/>
      <c r="BP118" s="1"/>
      <c r="BQ118" s="1"/>
      <c r="BR118" s="1"/>
    </row>
    <row r="119" spans="2:70" ht="12.75">
      <c r="B119" s="1"/>
      <c r="C119" s="1"/>
      <c r="D119" s="1"/>
      <c r="E119" s="1"/>
      <c r="F119" s="1"/>
      <c r="G119" s="1"/>
      <c r="H119" s="1"/>
      <c r="I119" s="1"/>
      <c r="BM119" s="4"/>
      <c r="BN119" s="95"/>
      <c r="BO119" s="12"/>
      <c r="BP119" s="1"/>
      <c r="BQ119" s="1"/>
      <c r="BR119" s="1"/>
    </row>
    <row r="120" spans="2:70" ht="12.75">
      <c r="B120" s="1"/>
      <c r="C120" s="1"/>
      <c r="D120" s="1"/>
      <c r="E120" s="1"/>
      <c r="F120" s="1"/>
      <c r="G120" s="1"/>
      <c r="H120" s="1"/>
      <c r="I120" s="1"/>
      <c r="BM120" s="4"/>
      <c r="BN120" s="95"/>
      <c r="BO120" s="12"/>
      <c r="BP120" s="1"/>
      <c r="BQ120" s="1"/>
      <c r="BR120" s="1"/>
    </row>
    <row r="121" spans="2:70" ht="12.75">
      <c r="B121" s="1"/>
      <c r="C121" s="1"/>
      <c r="D121" s="1"/>
      <c r="E121" s="1"/>
      <c r="F121" s="1"/>
      <c r="G121" s="1"/>
      <c r="H121" s="1"/>
      <c r="I121" s="1"/>
      <c r="BM121" s="14"/>
      <c r="BN121" s="95"/>
      <c r="BO121" s="12"/>
      <c r="BP121" s="1"/>
      <c r="BQ121" s="1"/>
      <c r="BR121" s="1"/>
    </row>
    <row r="122" spans="2:70" ht="12.75">
      <c r="B122" s="1"/>
      <c r="C122" s="1"/>
      <c r="D122" s="1"/>
      <c r="E122" s="1"/>
      <c r="F122" s="1"/>
      <c r="G122" s="1"/>
      <c r="H122" s="1"/>
      <c r="I122" s="1"/>
      <c r="BM122" s="4"/>
      <c r="BN122" s="95"/>
      <c r="BO122" s="1"/>
      <c r="BP122" s="1"/>
      <c r="BQ122" s="1"/>
      <c r="BR122" s="1"/>
    </row>
  </sheetData>
  <mergeCells count="202">
    <mergeCell ref="AP16:AQ16"/>
    <mergeCell ref="AS16:AT16"/>
    <mergeCell ref="AK7:AL7"/>
    <mergeCell ref="AI14:AK14"/>
    <mergeCell ref="AN14:AO14"/>
    <mergeCell ref="AN15:AO15"/>
    <mergeCell ref="AT13:AU13"/>
    <mergeCell ref="AQ13:AR13"/>
    <mergeCell ref="AI17:AK17"/>
    <mergeCell ref="AI16:AK16"/>
    <mergeCell ref="AB13:AC13"/>
    <mergeCell ref="Y13:Z13"/>
    <mergeCell ref="BY86:CA86"/>
    <mergeCell ref="BY91:CA91"/>
    <mergeCell ref="BU85:BU86"/>
    <mergeCell ref="BU91:BU92"/>
    <mergeCell ref="BU89:BV89"/>
    <mergeCell ref="BU88:BV88"/>
    <mergeCell ref="BS85:BS86"/>
    <mergeCell ref="BO91:BO92"/>
    <mergeCell ref="BS91:BS92"/>
    <mergeCell ref="BQ91:BQ92"/>
    <mergeCell ref="BQ89:BR89"/>
    <mergeCell ref="BS89:BT89"/>
    <mergeCell ref="BO89:BP89"/>
    <mergeCell ref="BT85:BT86"/>
    <mergeCell ref="BP91:BP92"/>
    <mergeCell ref="BR91:BR92"/>
    <mergeCell ref="BK89:BL89"/>
    <mergeCell ref="BK88:BL88"/>
    <mergeCell ref="BM88:BN88"/>
    <mergeCell ref="BS88:BT88"/>
    <mergeCell ref="BO88:BP88"/>
    <mergeCell ref="BQ88:BR88"/>
    <mergeCell ref="BL85:BL86"/>
    <mergeCell ref="BN85:BN86"/>
    <mergeCell ref="BP85:BP86"/>
    <mergeCell ref="BR85:BR86"/>
    <mergeCell ref="BM85:BM86"/>
    <mergeCell ref="BO85:BO86"/>
    <mergeCell ref="BQ85:BQ86"/>
    <mergeCell ref="BE65:BE66"/>
    <mergeCell ref="BH85:BJ85"/>
    <mergeCell ref="BF78:BG78"/>
    <mergeCell ref="BL91:BL92"/>
    <mergeCell ref="BK70:BN70"/>
    <mergeCell ref="BL71:BM71"/>
    <mergeCell ref="BK72:BN72"/>
    <mergeCell ref="BL73:BM73"/>
    <mergeCell ref="BM89:BN89"/>
    <mergeCell ref="BN91:BN92"/>
    <mergeCell ref="BT91:BT92"/>
    <mergeCell ref="BM91:BM92"/>
    <mergeCell ref="BY55:CC55"/>
    <mergeCell ref="AN22:AW22"/>
    <mergeCell ref="BQ53:BT53"/>
    <mergeCell ref="BQ54:BT54"/>
    <mergeCell ref="BU52:BX52"/>
    <mergeCell ref="BU53:BX53"/>
    <mergeCell ref="BU54:BX54"/>
    <mergeCell ref="BK53:BL54"/>
    <mergeCell ref="BM53:BP53"/>
    <mergeCell ref="BM54:BP54"/>
    <mergeCell ref="BQ34:BS34"/>
    <mergeCell ref="BY53:CB53"/>
    <mergeCell ref="BY54:CB54"/>
    <mergeCell ref="BZ34:BZ35"/>
    <mergeCell ref="CA34:CA35"/>
    <mergeCell ref="BK52:BL52"/>
    <mergeCell ref="BQ52:BT52"/>
    <mergeCell ref="BY52:CB52"/>
    <mergeCell ref="BS39:BT39"/>
    <mergeCell ref="BP39:BQ39"/>
    <mergeCell ref="BV39:BW39"/>
    <mergeCell ref="BM39:BN39"/>
    <mergeCell ref="BM52:BP52"/>
    <mergeCell ref="Q93:Q94"/>
    <mergeCell ref="V90:Y90"/>
    <mergeCell ref="S39:T39"/>
    <mergeCell ref="AF25:AH25"/>
    <mergeCell ref="Q39:R40"/>
    <mergeCell ref="AH71:AI71"/>
    <mergeCell ref="AH70:AI70"/>
    <mergeCell ref="Q63:Q64"/>
    <mergeCell ref="Q61:Q62"/>
    <mergeCell ref="Q65:Q66"/>
    <mergeCell ref="X35:Y35"/>
    <mergeCell ref="Z34:AA34"/>
    <mergeCell ref="AI48:AJ48"/>
    <mergeCell ref="AI50:AJ50"/>
    <mergeCell ref="AA90:AD90"/>
    <mergeCell ref="V89:AD89"/>
    <mergeCell ref="AG90:AH90"/>
    <mergeCell ref="AN70:AO70"/>
    <mergeCell ref="AK75:AP75"/>
    <mergeCell ref="AJ71:AK71"/>
    <mergeCell ref="AL71:AM71"/>
    <mergeCell ref="AN71:AO71"/>
    <mergeCell ref="AP71:AQ71"/>
    <mergeCell ref="BO10:BP10"/>
    <mergeCell ref="BH33:BI33"/>
    <mergeCell ref="BL33:BM33"/>
    <mergeCell ref="BN33:BO33"/>
    <mergeCell ref="BG13:BH13"/>
    <mergeCell ref="BI13:BJ13"/>
    <mergeCell ref="BK10:BL10"/>
    <mergeCell ref="BM10:BN10"/>
    <mergeCell ref="E1:H1"/>
    <mergeCell ref="H51:K51"/>
    <mergeCell ref="I34:K34"/>
    <mergeCell ref="L34:N34"/>
    <mergeCell ref="C28:E28"/>
    <mergeCell ref="L28:N28"/>
    <mergeCell ref="L8:O8"/>
    <mergeCell ref="M9:O9"/>
    <mergeCell ref="M10:O10"/>
    <mergeCell ref="M12:O12"/>
    <mergeCell ref="B69:B74"/>
    <mergeCell ref="L51:O51"/>
    <mergeCell ref="J52:K52"/>
    <mergeCell ref="J53:K53"/>
    <mergeCell ref="G66:L66"/>
    <mergeCell ref="G64:L64"/>
    <mergeCell ref="H52:I52"/>
    <mergeCell ref="H53:I53"/>
    <mergeCell ref="C98:D98"/>
    <mergeCell ref="Y12:Z12"/>
    <mergeCell ref="U21:V21"/>
    <mergeCell ref="X21:AA21"/>
    <mergeCell ref="X22:AA22"/>
    <mergeCell ref="AA48:AB48"/>
    <mergeCell ref="D69:D74"/>
    <mergeCell ref="W70:Z70"/>
    <mergeCell ref="W72:Z72"/>
    <mergeCell ref="G77:L77"/>
    <mergeCell ref="C88:D88"/>
    <mergeCell ref="X71:Y71"/>
    <mergeCell ref="X73:Y73"/>
    <mergeCell ref="R78:S78"/>
    <mergeCell ref="U77:W77"/>
    <mergeCell ref="Q86:Q87"/>
    <mergeCell ref="R86:S86"/>
    <mergeCell ref="AE12:AF12"/>
    <mergeCell ref="AQ12:AR12"/>
    <mergeCell ref="AT12:AU12"/>
    <mergeCell ref="CP17:CQ17"/>
    <mergeCell ref="AH12:AI12"/>
    <mergeCell ref="AK12:AL12"/>
    <mergeCell ref="AE13:AF13"/>
    <mergeCell ref="AN13:AO13"/>
    <mergeCell ref="AH13:AI13"/>
    <mergeCell ref="AK13:AL13"/>
    <mergeCell ref="BA7:BA8"/>
    <mergeCell ref="BB7:BB8"/>
    <mergeCell ref="U19:V19"/>
    <mergeCell ref="AC19:AD19"/>
    <mergeCell ref="W19:AB19"/>
    <mergeCell ref="AE19:AG19"/>
    <mergeCell ref="AH19:AJ19"/>
    <mergeCell ref="AW12:AX12"/>
    <mergeCell ref="V12:W12"/>
    <mergeCell ref="AN12:AO12"/>
    <mergeCell ref="AG3:AI3"/>
    <mergeCell ref="AI6:AK6"/>
    <mergeCell ref="U20:V20"/>
    <mergeCell ref="X20:AA20"/>
    <mergeCell ref="AC20:AD21"/>
    <mergeCell ref="AE20:AG20"/>
    <mergeCell ref="AE21:AG21"/>
    <mergeCell ref="AH20:AJ20"/>
    <mergeCell ref="AH21:AJ21"/>
    <mergeCell ref="AB12:AC12"/>
    <mergeCell ref="AD24:AD25"/>
    <mergeCell ref="AN20:AR20"/>
    <mergeCell ref="AN19:AR19"/>
    <mergeCell ref="AN21:AR21"/>
    <mergeCell ref="AK21:AM21"/>
    <mergeCell ref="AK19:AM19"/>
    <mergeCell ref="AI24:AM25"/>
    <mergeCell ref="AV72:AX72"/>
    <mergeCell ref="AV69:AX69"/>
    <mergeCell ref="V39:W39"/>
    <mergeCell ref="AY10:AZ10"/>
    <mergeCell ref="X25:Y25"/>
    <mergeCell ref="AU25:AV25"/>
    <mergeCell ref="AS19:AW19"/>
    <mergeCell ref="AS20:AW20"/>
    <mergeCell ref="AN18:AW18"/>
    <mergeCell ref="AK20:AM20"/>
    <mergeCell ref="V36:W36"/>
    <mergeCell ref="AR71:AS71"/>
    <mergeCell ref="AJ70:AK70"/>
    <mergeCell ref="AL70:AM70"/>
    <mergeCell ref="AP70:AQ70"/>
    <mergeCell ref="AS48:AT48"/>
    <mergeCell ref="AR70:AS70"/>
    <mergeCell ref="AD69:AF69"/>
    <mergeCell ref="AG69:AH69"/>
    <mergeCell ref="M13:O13"/>
    <mergeCell ref="I27:K27"/>
    <mergeCell ref="I1:O1"/>
    <mergeCell ref="V32:W32"/>
  </mergeCells>
  <printOptions/>
  <pageMargins left="0.75" right="0.75" top="1" bottom="1" header="0" footer="0"/>
  <pageSetup horizontalDpi="600" verticalDpi="600" orientation="portrait" scale="78" r:id="rId4"/>
  <rowBreaks count="1" manualBreakCount="1">
    <brk id="57" max="80" man="1"/>
  </rowBreaks>
  <colBreaks count="3" manualBreakCount="3">
    <brk id="15" max="98" man="1"/>
    <brk id="55" max="98" man="1"/>
    <brk id="81" max="98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2"/>
  <sheetViews>
    <sheetView showGridLines="0" view="pageBreakPreview" zoomScaleSheetLayoutView="100" workbookViewId="0" topLeftCell="A1">
      <selection activeCell="L53" sqref="L53"/>
    </sheetView>
  </sheetViews>
  <sheetFormatPr defaultColWidth="9.140625" defaultRowHeight="12.75"/>
  <cols>
    <col min="1" max="1" width="12.28125" style="0" customWidth="1"/>
    <col min="2" max="2" width="5.421875" style="0" customWidth="1"/>
    <col min="3" max="3" width="12.140625" style="0" customWidth="1"/>
    <col min="4" max="4" width="7.00390625" style="19" bestFit="1" customWidth="1"/>
    <col min="5" max="5" width="0.9921875" style="0" customWidth="1"/>
    <col min="6" max="6" width="8.7109375" style="0" customWidth="1"/>
    <col min="7" max="8" width="6.7109375" style="0" customWidth="1"/>
    <col min="9" max="9" width="0.85546875" style="0" customWidth="1"/>
    <col min="10" max="12" width="6.7109375" style="0" customWidth="1"/>
    <col min="13" max="13" width="0.85546875" style="0" customWidth="1"/>
    <col min="14" max="16" width="6.7109375" style="0" customWidth="1"/>
    <col min="17" max="17" width="0.85546875" style="0" customWidth="1"/>
    <col min="18" max="20" width="6.7109375" style="0" customWidth="1"/>
    <col min="21" max="21" width="0.85546875" style="0" customWidth="1"/>
    <col min="22" max="23" width="6.7109375" style="0" customWidth="1"/>
    <col min="24" max="24" width="8.7109375" style="0" customWidth="1"/>
    <col min="25" max="16384" width="11.421875" style="0" customWidth="1"/>
  </cols>
  <sheetData>
    <row r="1" spans="1:25" ht="14.25">
      <c r="A1" s="504" t="s">
        <v>181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</row>
    <row r="2" spans="1:6" ht="12.75">
      <c r="A2" s="114" t="s">
        <v>161</v>
      </c>
      <c r="B2" s="1"/>
      <c r="C2" s="1"/>
      <c r="D2" s="4"/>
      <c r="E2" s="1"/>
      <c r="F2" s="1"/>
    </row>
    <row r="3" spans="1:6" ht="13.5" thickBot="1">
      <c r="A3" s="188"/>
      <c r="B3" s="1"/>
      <c r="C3" s="1"/>
      <c r="D3" s="4"/>
      <c r="E3" s="1"/>
      <c r="F3" s="1"/>
    </row>
    <row r="4" spans="1:23" ht="12.75">
      <c r="A4" s="376" t="s">
        <v>122</v>
      </c>
      <c r="B4" s="377">
        <f>MARCO_EQUIVALENTE!AD69</f>
        <v>7005.599999999999</v>
      </c>
      <c r="C4" s="327" t="s">
        <v>14</v>
      </c>
      <c r="D4" s="378" t="s">
        <v>302</v>
      </c>
      <c r="E4" s="378"/>
      <c r="F4" s="83"/>
      <c r="G4" s="212"/>
      <c r="I4" s="1"/>
      <c r="K4" s="212"/>
      <c r="O4" s="212"/>
      <c r="S4" s="212"/>
      <c r="W4" s="212"/>
    </row>
    <row r="5" spans="1:23" ht="12.75">
      <c r="A5" s="188"/>
      <c r="B5" s="1"/>
      <c r="C5" s="1"/>
      <c r="D5" s="4"/>
      <c r="E5" s="1"/>
      <c r="F5" s="1"/>
      <c r="G5" s="213"/>
      <c r="I5" s="1"/>
      <c r="K5" s="213"/>
      <c r="O5" s="213"/>
      <c r="S5" s="213"/>
      <c r="W5" s="213"/>
    </row>
    <row r="6" spans="2:23" ht="13.5" thickBot="1">
      <c r="B6" s="1"/>
      <c r="C6" s="1"/>
      <c r="D6" s="4"/>
      <c r="E6" s="1"/>
      <c r="F6" s="1"/>
      <c r="G6" s="213"/>
      <c r="I6" s="1"/>
      <c r="K6" s="213"/>
      <c r="O6" s="213"/>
      <c r="S6" s="213"/>
      <c r="W6" s="213"/>
    </row>
    <row r="7" spans="2:24" ht="5.25" customHeight="1" thickBot="1">
      <c r="B7" s="1"/>
      <c r="C7" s="1"/>
      <c r="D7" s="4"/>
      <c r="E7" s="1"/>
      <c r="F7" s="215"/>
      <c r="G7" s="216"/>
      <c r="H7" s="215"/>
      <c r="I7" s="1"/>
      <c r="J7" s="215"/>
      <c r="K7" s="213"/>
      <c r="L7" s="215"/>
      <c r="N7" s="215"/>
      <c r="O7" s="213"/>
      <c r="P7" s="215"/>
      <c r="R7" s="215"/>
      <c r="S7" s="213"/>
      <c r="T7" s="215"/>
      <c r="V7" s="215"/>
      <c r="W7" s="213"/>
      <c r="X7" s="211"/>
    </row>
    <row r="8" spans="1:23" ht="12.75">
      <c r="A8" s="190"/>
      <c r="B8" s="1"/>
      <c r="C8" s="209"/>
      <c r="D8" s="4"/>
      <c r="E8" s="1"/>
      <c r="F8" s="1"/>
      <c r="G8" s="213"/>
      <c r="I8" s="1"/>
      <c r="K8" s="213"/>
      <c r="O8" s="213"/>
      <c r="S8" s="213"/>
      <c r="W8" s="213"/>
    </row>
    <row r="9" spans="1:23" ht="12.75">
      <c r="A9" s="190"/>
      <c r="B9" s="1"/>
      <c r="C9" s="209"/>
      <c r="D9" s="4"/>
      <c r="E9" s="1"/>
      <c r="F9" s="1"/>
      <c r="G9" s="213"/>
      <c r="I9" s="1"/>
      <c r="K9" s="213"/>
      <c r="O9" s="213"/>
      <c r="S9" s="213"/>
      <c r="W9" s="213"/>
    </row>
    <row r="10" spans="1:23" ht="13.5" thickBot="1">
      <c r="A10" s="190"/>
      <c r="B10" s="1"/>
      <c r="C10" s="209"/>
      <c r="D10" s="4"/>
      <c r="E10" s="1"/>
      <c r="F10" s="1"/>
      <c r="G10" s="214"/>
      <c r="I10" s="1"/>
      <c r="K10" s="214"/>
      <c r="O10" s="214"/>
      <c r="S10" s="214"/>
      <c r="W10" s="214"/>
    </row>
    <row r="11" spans="1:23" ht="12.75">
      <c r="A11" s="190"/>
      <c r="B11" s="1"/>
      <c r="C11" s="209"/>
      <c r="D11" s="4"/>
      <c r="E11" s="1"/>
      <c r="F11" s="1"/>
      <c r="G11" s="1"/>
      <c r="I11" s="1"/>
      <c r="K11" s="1"/>
      <c r="O11" s="1"/>
      <c r="S11" s="1"/>
      <c r="W11" s="1"/>
    </row>
    <row r="12" spans="1:24" ht="12.75">
      <c r="A12" s="190"/>
      <c r="B12" s="1"/>
      <c r="C12" s="209"/>
      <c r="D12" s="502" t="s">
        <v>296</v>
      </c>
      <c r="E12" s="503"/>
      <c r="F12" s="228">
        <v>1</v>
      </c>
      <c r="G12" s="229">
        <v>0.5</v>
      </c>
      <c r="H12" s="505">
        <v>5.55</v>
      </c>
      <c r="I12" s="505"/>
      <c r="J12" s="505"/>
      <c r="K12" s="229">
        <v>0.5</v>
      </c>
      <c r="L12" s="505">
        <v>8.22</v>
      </c>
      <c r="M12" s="505"/>
      <c r="N12" s="505"/>
      <c r="O12" s="229">
        <v>0.5</v>
      </c>
      <c r="P12" s="505">
        <v>0</v>
      </c>
      <c r="Q12" s="505"/>
      <c r="R12" s="505"/>
      <c r="S12" s="229">
        <v>0</v>
      </c>
      <c r="T12" s="505">
        <v>0</v>
      </c>
      <c r="U12" s="505"/>
      <c r="V12" s="505"/>
      <c r="W12" s="229">
        <v>0</v>
      </c>
      <c r="X12" s="228">
        <v>0</v>
      </c>
    </row>
    <row r="13" spans="1:24" ht="12.75">
      <c r="A13" s="190"/>
      <c r="B13" s="1"/>
      <c r="C13" s="209"/>
      <c r="D13" s="4"/>
      <c r="E13" s="75"/>
      <c r="F13" s="23"/>
      <c r="G13" s="22"/>
      <c r="H13" s="39"/>
      <c r="I13" s="39"/>
      <c r="J13" s="39"/>
      <c r="K13" s="217"/>
      <c r="L13" s="39"/>
      <c r="M13" s="39"/>
      <c r="N13" s="39"/>
      <c r="O13" s="217"/>
      <c r="P13" s="39"/>
      <c r="Q13" s="39"/>
      <c r="R13" s="39"/>
      <c r="S13" s="217"/>
      <c r="T13" s="39"/>
      <c r="U13" s="39"/>
      <c r="V13" s="39"/>
      <c r="W13" s="22"/>
      <c r="X13" s="39"/>
    </row>
    <row r="14" spans="1:23" ht="12.75">
      <c r="A14" s="190"/>
      <c r="B14" s="1"/>
      <c r="C14" s="209"/>
      <c r="D14" s="4"/>
      <c r="E14" s="1"/>
      <c r="F14" s="1"/>
      <c r="G14" s="37">
        <f>G16+G17</f>
        <v>0.6578947368421053</v>
      </c>
      <c r="K14" s="56">
        <f>K16+K17</f>
        <v>0.6578947368421053</v>
      </c>
      <c r="O14" s="56">
        <f>O16+O17</f>
        <v>0.6578947368421053</v>
      </c>
      <c r="S14" s="56">
        <f>S16+S17</f>
        <v>0.6578947368421053</v>
      </c>
      <c r="W14" s="56">
        <f>W16+W17</f>
        <v>0.6578947368421053</v>
      </c>
    </row>
    <row r="15" spans="2:24" ht="19.5">
      <c r="B15" s="1"/>
      <c r="C15" s="1"/>
      <c r="D15" s="65"/>
      <c r="E15" s="15"/>
      <c r="F15" s="35" t="s">
        <v>173</v>
      </c>
      <c r="G15" s="219" t="s">
        <v>4</v>
      </c>
      <c r="H15" s="220" t="s">
        <v>167</v>
      </c>
      <c r="I15" s="15"/>
      <c r="J15" s="220" t="s">
        <v>172</v>
      </c>
      <c r="K15" s="219" t="s">
        <v>6</v>
      </c>
      <c r="L15" s="220" t="s">
        <v>167</v>
      </c>
      <c r="M15" s="15"/>
      <c r="N15" s="220" t="s">
        <v>172</v>
      </c>
      <c r="O15" s="219" t="s">
        <v>70</v>
      </c>
      <c r="P15" s="220" t="s">
        <v>167</v>
      </c>
      <c r="Q15" s="15"/>
      <c r="R15" s="220" t="s">
        <v>172</v>
      </c>
      <c r="S15" s="219" t="s">
        <v>71</v>
      </c>
      <c r="T15" s="220" t="s">
        <v>167</v>
      </c>
      <c r="U15" s="15"/>
      <c r="V15" s="220" t="s">
        <v>172</v>
      </c>
      <c r="W15" s="219" t="s">
        <v>72</v>
      </c>
      <c r="X15" s="35" t="s">
        <v>173</v>
      </c>
    </row>
    <row r="16" spans="1:25" ht="14.25">
      <c r="A16" s="19" t="s">
        <v>162</v>
      </c>
      <c r="B16" s="210">
        <f>MARCO_EQUIVALENTE!BG21</f>
        <v>0.32894736842105265</v>
      </c>
      <c r="C16" s="1" t="s">
        <v>168</v>
      </c>
      <c r="D16" s="221" t="s">
        <v>175</v>
      </c>
      <c r="E16" s="15"/>
      <c r="F16" s="222">
        <v>0</v>
      </c>
      <c r="G16" s="222">
        <f>B16</f>
        <v>0.32894736842105265</v>
      </c>
      <c r="H16" s="16"/>
      <c r="I16" s="16"/>
      <c r="J16" s="16"/>
      <c r="K16" s="222">
        <f>B16</f>
        <v>0.32894736842105265</v>
      </c>
      <c r="L16" s="16"/>
      <c r="M16" s="16"/>
      <c r="N16" s="16"/>
      <c r="O16" s="222">
        <f>B16</f>
        <v>0.32894736842105265</v>
      </c>
      <c r="P16" s="16"/>
      <c r="Q16" s="16"/>
      <c r="R16" s="16"/>
      <c r="S16" s="222">
        <f>B16</f>
        <v>0.32894736842105265</v>
      </c>
      <c r="T16" s="16"/>
      <c r="U16" s="16"/>
      <c r="V16" s="16"/>
      <c r="W16" s="222">
        <f>B16</f>
        <v>0.32894736842105265</v>
      </c>
      <c r="X16" s="222">
        <v>0</v>
      </c>
      <c r="Y16" s="2"/>
    </row>
    <row r="17" spans="1:25" ht="14.25">
      <c r="A17" s="19" t="s">
        <v>163</v>
      </c>
      <c r="B17" s="37">
        <f>MARCO_EQUIVALENTE!BG9</f>
        <v>0.32894736842105265</v>
      </c>
      <c r="C17" t="s">
        <v>169</v>
      </c>
      <c r="D17" s="221" t="s">
        <v>174</v>
      </c>
      <c r="E17" s="15"/>
      <c r="F17" s="222">
        <v>0</v>
      </c>
      <c r="G17" s="222">
        <f>B17</f>
        <v>0.32894736842105265</v>
      </c>
      <c r="H17" s="222">
        <f>IF(H12&gt;0,B18,0)</f>
        <v>0.5498955570704683</v>
      </c>
      <c r="I17" s="16"/>
      <c r="J17" s="222">
        <f>IF(H12&gt;0,B18,0)</f>
        <v>0.5498955570704683</v>
      </c>
      <c r="K17" s="222">
        <f>B17</f>
        <v>0.32894736842105265</v>
      </c>
      <c r="L17" s="222">
        <f>IF(L12&gt;0,B18,0)</f>
        <v>0.5498955570704683</v>
      </c>
      <c r="M17" s="16"/>
      <c r="N17" s="222">
        <f>IF(L12&gt;0,B18,0)</f>
        <v>0.5498955570704683</v>
      </c>
      <c r="O17" s="222">
        <f>B17</f>
        <v>0.32894736842105265</v>
      </c>
      <c r="P17" s="222">
        <f>IF(P12&gt;0,B18,0)</f>
        <v>0</v>
      </c>
      <c r="Q17" s="16"/>
      <c r="R17" s="222">
        <f>IF(P12&gt;0,B18,0)</f>
        <v>0</v>
      </c>
      <c r="S17" s="222">
        <f>B17</f>
        <v>0.32894736842105265</v>
      </c>
      <c r="T17" s="222">
        <f>IF(T12&gt;0,B18,0)</f>
        <v>0</v>
      </c>
      <c r="U17" s="16"/>
      <c r="V17" s="222">
        <f>IF(T12&gt;0,B18,0)</f>
        <v>0</v>
      </c>
      <c r="W17" s="222">
        <f>B17</f>
        <v>0.32894736842105265</v>
      </c>
      <c r="X17" s="222">
        <v>0</v>
      </c>
      <c r="Y17" s="2"/>
    </row>
    <row r="18" spans="1:25" ht="14.25">
      <c r="A18" s="19" t="s">
        <v>164</v>
      </c>
      <c r="B18" s="37">
        <f>MARCO_EQUIVALENTE!U77</f>
        <v>0.5498955570704683</v>
      </c>
      <c r="D18" s="221" t="s">
        <v>170</v>
      </c>
      <c r="E18" s="15"/>
      <c r="F18" s="222">
        <v>0</v>
      </c>
      <c r="G18" s="222">
        <f>G14/(G14+H17)</f>
        <v>0.544709408709429</v>
      </c>
      <c r="H18" s="222">
        <f>H17/(G14+H17)</f>
        <v>0.45529059129057114</v>
      </c>
      <c r="I18" s="222"/>
      <c r="J18" s="222">
        <f>J17/(J17+K14+L17)</f>
        <v>0.3128520132098246</v>
      </c>
      <c r="K18" s="222">
        <f>K14/(J17+K14+L17)</f>
        <v>0.374295973580351</v>
      </c>
      <c r="L18" s="222">
        <f>L17/(L17+K14+J17)</f>
        <v>0.3128520132098246</v>
      </c>
      <c r="M18" s="222"/>
      <c r="N18" s="222">
        <f>N17/(N17+O14+P17)</f>
        <v>0.45529059129057114</v>
      </c>
      <c r="O18" s="222">
        <f>O14/(N17+O14+P17)</f>
        <v>0.544709408709429</v>
      </c>
      <c r="P18" s="222">
        <f>P17/(P17+O14+N17)</f>
        <v>0</v>
      </c>
      <c r="Q18" s="222"/>
      <c r="R18" s="222">
        <f>R17/(R17+S14+T17)</f>
        <v>0</v>
      </c>
      <c r="S18" s="222">
        <f>S14/(R17+S14+T17)</f>
        <v>1</v>
      </c>
      <c r="T18" s="222">
        <f>IF(T12&gt;0,T17/(T17+S14+R17),0)</f>
        <v>0</v>
      </c>
      <c r="U18" s="222"/>
      <c r="V18" s="222">
        <f>IF(T12&gt;0,V17/(V17+W14),0)</f>
        <v>0</v>
      </c>
      <c r="W18" s="222">
        <f>W14/(W14+V17)</f>
        <v>1</v>
      </c>
      <c r="X18" s="222">
        <v>0</v>
      </c>
      <c r="Y18" s="2"/>
    </row>
    <row r="19" spans="1:25" ht="14.25">
      <c r="A19" s="19" t="s">
        <v>165</v>
      </c>
      <c r="B19" s="37">
        <f>MARCO_EQUIVALENTE!T80</f>
        <v>0.37404547018566564</v>
      </c>
      <c r="D19" s="221" t="s">
        <v>171</v>
      </c>
      <c r="E19" s="15"/>
      <c r="F19" s="66">
        <f>-B4*F12^2/2</f>
        <v>-3502.7999999999997</v>
      </c>
      <c r="G19" s="15"/>
      <c r="H19" s="16">
        <f>B4*H12^2/B20</f>
        <v>17982.499499999998</v>
      </c>
      <c r="I19" s="16"/>
      <c r="J19" s="16">
        <f>-B4*H12^2/B20</f>
        <v>-17982.499499999998</v>
      </c>
      <c r="K19" s="16">
        <v>0</v>
      </c>
      <c r="L19" s="16">
        <f>B4*L12^2/B20</f>
        <v>39446.43192</v>
      </c>
      <c r="M19" s="16"/>
      <c r="N19" s="16">
        <f>-B4*L12^2/B20</f>
        <v>-39446.43192</v>
      </c>
      <c r="O19" s="16"/>
      <c r="P19" s="16">
        <f>B4*P12^2/B20</f>
        <v>0</v>
      </c>
      <c r="Q19" s="16"/>
      <c r="R19" s="16">
        <f>-B4*P12^2/B20</f>
        <v>0</v>
      </c>
      <c r="S19" s="16"/>
      <c r="T19" s="16">
        <f>B4*T12^2/B20</f>
        <v>0</v>
      </c>
      <c r="U19" s="16"/>
      <c r="V19" s="16">
        <f>-B4*T12^2/B20</f>
        <v>0</v>
      </c>
      <c r="W19" s="16"/>
      <c r="X19" s="66">
        <f>B4*X12^2/2</f>
        <v>0</v>
      </c>
      <c r="Y19" s="2"/>
    </row>
    <row r="20" spans="1:25" ht="14.25">
      <c r="A20" s="19" t="s">
        <v>166</v>
      </c>
      <c r="B20" s="53">
        <f>IF(MARCO_EQUIVALENTE!R94&lt;12,MARCO_EQUIVALENTE!R94,12)</f>
        <v>12</v>
      </c>
      <c r="D20" s="221"/>
      <c r="E20" s="15"/>
      <c r="F20" s="411">
        <f>(F19+H19)*-1</f>
        <v>-14479.699499999999</v>
      </c>
      <c r="G20" s="411"/>
      <c r="H20" s="411"/>
      <c r="I20" s="66"/>
      <c r="J20" s="411">
        <f>(J19+K19+L19)*-1</f>
        <v>-21463.932420000005</v>
      </c>
      <c r="K20" s="411"/>
      <c r="L20" s="411"/>
      <c r="M20" s="66"/>
      <c r="N20" s="411">
        <f>(N19+O19+P19)*-1</f>
        <v>39446.43192</v>
      </c>
      <c r="O20" s="411"/>
      <c r="P20" s="411"/>
      <c r="Q20" s="66"/>
      <c r="R20" s="411">
        <f>(R19+S19+T19)*-1</f>
        <v>0</v>
      </c>
      <c r="S20" s="411"/>
      <c r="T20" s="411"/>
      <c r="U20" s="66"/>
      <c r="V20" s="411">
        <f>(V19+X19)*-1</f>
        <v>0</v>
      </c>
      <c r="W20" s="411"/>
      <c r="X20" s="411"/>
      <c r="Y20" s="2"/>
    </row>
    <row r="21" spans="4:25" ht="6" customHeight="1">
      <c r="D21" s="221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2"/>
    </row>
    <row r="22" spans="4:25" ht="14.25">
      <c r="D22" s="221" t="s">
        <v>6</v>
      </c>
      <c r="E22" s="15"/>
      <c r="F22" s="66">
        <v>0</v>
      </c>
      <c r="G22" s="66">
        <f>G18*F20</f>
        <v>-7887.228552935214</v>
      </c>
      <c r="H22" s="66">
        <f>H18*F20</f>
        <v>-6592.470947064787</v>
      </c>
      <c r="I22" s="66"/>
      <c r="J22" s="66">
        <f>J18*J20</f>
        <v>-6715.034468996623</v>
      </c>
      <c r="K22" s="66">
        <f>K18*J20</f>
        <v>-8033.863482006761</v>
      </c>
      <c r="L22" s="66">
        <f>L18*J20</f>
        <v>-6715.034468996623</v>
      </c>
      <c r="M22" s="66"/>
      <c r="N22" s="66">
        <f>N18*N20</f>
        <v>17959.58931316006</v>
      </c>
      <c r="O22" s="66">
        <f>O18*N20</f>
        <v>21486.842606839946</v>
      </c>
      <c r="P22" s="66">
        <f>P18*N20</f>
        <v>0</v>
      </c>
      <c r="Q22" s="66"/>
      <c r="R22" s="66">
        <f>R18*R20</f>
        <v>0</v>
      </c>
      <c r="S22" s="66">
        <f>S18*R20</f>
        <v>0</v>
      </c>
      <c r="T22" s="66">
        <f>T18*R20</f>
        <v>0</v>
      </c>
      <c r="U22" s="66"/>
      <c r="V22" s="66">
        <f>V18*V20</f>
        <v>0</v>
      </c>
      <c r="W22" s="66">
        <f>W18*V20</f>
        <v>0</v>
      </c>
      <c r="X22" s="66">
        <f>X18*V20</f>
        <v>0</v>
      </c>
      <c r="Y22" s="2"/>
    </row>
    <row r="23" spans="4:25" ht="14.25">
      <c r="D23" s="221" t="s">
        <v>2</v>
      </c>
      <c r="E23" s="15"/>
      <c r="F23" s="66">
        <v>0</v>
      </c>
      <c r="G23" s="66"/>
      <c r="H23" s="66">
        <f>J22*$B$19</f>
        <v>-2511.7282252687937</v>
      </c>
      <c r="I23" s="66"/>
      <c r="J23" s="66">
        <f>H22*$B$19</f>
        <v>-2465.8838950801887</v>
      </c>
      <c r="K23" s="66"/>
      <c r="L23" s="66">
        <f>N22*$B$19</f>
        <v>6717.703028982411</v>
      </c>
      <c r="M23" s="66"/>
      <c r="N23" s="66">
        <f>L22*$B$19</f>
        <v>-2511.7282252687937</v>
      </c>
      <c r="O23" s="66"/>
      <c r="P23" s="66">
        <f>R22*$B$19</f>
        <v>0</v>
      </c>
      <c r="Q23" s="66"/>
      <c r="R23" s="66">
        <f>P22*$B$19</f>
        <v>0</v>
      </c>
      <c r="S23" s="66"/>
      <c r="T23" s="66">
        <f>V22*$B$19</f>
        <v>0</v>
      </c>
      <c r="U23" s="66"/>
      <c r="V23" s="66">
        <f>T22*$B$19</f>
        <v>0</v>
      </c>
      <c r="W23" s="66"/>
      <c r="X23" s="66">
        <v>0</v>
      </c>
      <c r="Y23" s="2"/>
    </row>
    <row r="24" spans="4:25" ht="6" customHeight="1">
      <c r="D24" s="223"/>
      <c r="E24" s="1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2"/>
    </row>
    <row r="25" spans="4:25" ht="12.75">
      <c r="D25" s="65"/>
      <c r="E25" s="15"/>
      <c r="F25" s="411">
        <f>(F23+H23)*-1</f>
        <v>2511.7282252687937</v>
      </c>
      <c r="G25" s="411"/>
      <c r="H25" s="411"/>
      <c r="I25" s="66"/>
      <c r="J25" s="411">
        <f>(J23+L23)*-1</f>
        <v>-4251.819133902221</v>
      </c>
      <c r="K25" s="411"/>
      <c r="L25" s="411"/>
      <c r="M25" s="66"/>
      <c r="N25" s="411">
        <f>(N23+P23)*-1</f>
        <v>2511.7282252687937</v>
      </c>
      <c r="O25" s="411"/>
      <c r="P25" s="411"/>
      <c r="Q25" s="66"/>
      <c r="R25" s="411">
        <f>(R23+T23)*-1</f>
        <v>0</v>
      </c>
      <c r="S25" s="411"/>
      <c r="T25" s="411"/>
      <c r="U25" s="66"/>
      <c r="V25" s="411">
        <f>(V23+X23)*-1</f>
        <v>0</v>
      </c>
      <c r="W25" s="411"/>
      <c r="X25" s="411"/>
      <c r="Y25" s="2"/>
    </row>
    <row r="26" spans="4:25" ht="6" customHeight="1">
      <c r="D26" s="65"/>
      <c r="E26" s="1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2"/>
    </row>
    <row r="27" spans="4:25" ht="14.25">
      <c r="D27" s="221" t="s">
        <v>6</v>
      </c>
      <c r="E27" s="15"/>
      <c r="F27" s="66">
        <v>0</v>
      </c>
      <c r="G27" s="66"/>
      <c r="H27" s="66">
        <f>F25*$H$18</f>
        <v>1143.566228843846</v>
      </c>
      <c r="I27" s="66"/>
      <c r="J27" s="66">
        <f>J25*$J$18</f>
        <v>-1330.1901758453628</v>
      </c>
      <c r="K27" s="66">
        <f>J25*$K$18</f>
        <v>-1591.4387822114968</v>
      </c>
      <c r="L27" s="66">
        <f>J25*$L$18</f>
        <v>-1330.1901758453628</v>
      </c>
      <c r="M27" s="66"/>
      <c r="N27" s="66">
        <f>N25*$N$18</f>
        <v>1143.566228843846</v>
      </c>
      <c r="O27" s="66">
        <f>N25*$O$18</f>
        <v>1368.161996424948</v>
      </c>
      <c r="P27" s="66">
        <f>N25*$P$18</f>
        <v>0</v>
      </c>
      <c r="Q27" s="66"/>
      <c r="R27" s="66">
        <f>R25*$R$18</f>
        <v>0</v>
      </c>
      <c r="S27" s="66">
        <f>R25*$S$18</f>
        <v>0</v>
      </c>
      <c r="T27" s="66">
        <f>R25*$T$18</f>
        <v>0</v>
      </c>
      <c r="U27" s="66"/>
      <c r="V27" s="66">
        <f>V25*$V$18</f>
        <v>0</v>
      </c>
      <c r="W27" s="66"/>
      <c r="X27" s="66"/>
      <c r="Y27" s="2"/>
    </row>
    <row r="28" spans="4:25" ht="14.25">
      <c r="D28" s="221" t="s">
        <v>2</v>
      </c>
      <c r="E28" s="15"/>
      <c r="F28" s="66">
        <v>0</v>
      </c>
      <c r="G28" s="66"/>
      <c r="H28" s="66">
        <f>J27*$B$19</f>
        <v>-497.551609760432</v>
      </c>
      <c r="I28" s="66"/>
      <c r="J28" s="66">
        <f>H27*$B$19</f>
        <v>427.74576775634483</v>
      </c>
      <c r="K28" s="66"/>
      <c r="L28" s="66">
        <f>N27*$B$19</f>
        <v>427.74576775634483</v>
      </c>
      <c r="M28" s="66"/>
      <c r="N28" s="66">
        <f>L27*$B$19</f>
        <v>-497.551609760432</v>
      </c>
      <c r="O28" s="66"/>
      <c r="P28" s="66">
        <f>R27*$B$19</f>
        <v>0</v>
      </c>
      <c r="Q28" s="66"/>
      <c r="R28" s="66">
        <f>P27*$B$19</f>
        <v>0</v>
      </c>
      <c r="S28" s="66"/>
      <c r="T28" s="66">
        <f>V27*$B$19</f>
        <v>0</v>
      </c>
      <c r="U28" s="66"/>
      <c r="V28" s="66">
        <f>T27*$B$19</f>
        <v>0</v>
      </c>
      <c r="W28" s="66"/>
      <c r="X28" s="66">
        <v>0</v>
      </c>
      <c r="Y28" s="2"/>
    </row>
    <row r="29" spans="4:25" ht="6" customHeight="1">
      <c r="D29" s="223"/>
      <c r="E29" s="1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2"/>
    </row>
    <row r="30" spans="4:25" ht="12.75">
      <c r="D30" s="223"/>
      <c r="E30" s="15"/>
      <c r="F30" s="411">
        <f>(F28+H28)*-1</f>
        <v>497.551609760432</v>
      </c>
      <c r="G30" s="411"/>
      <c r="H30" s="411"/>
      <c r="I30" s="66"/>
      <c r="J30" s="411">
        <f>(J28+L28)*-1</f>
        <v>-855.4915355126897</v>
      </c>
      <c r="K30" s="411"/>
      <c r="L30" s="411"/>
      <c r="M30" s="66"/>
      <c r="N30" s="411">
        <f>(N28+P28)*-1</f>
        <v>497.551609760432</v>
      </c>
      <c r="O30" s="411"/>
      <c r="P30" s="411"/>
      <c r="Q30" s="66"/>
      <c r="R30" s="411">
        <f>(R28+T28)*-1</f>
        <v>0</v>
      </c>
      <c r="S30" s="411"/>
      <c r="T30" s="411"/>
      <c r="U30" s="66"/>
      <c r="V30" s="411">
        <f>(V28+X28)*-1</f>
        <v>0</v>
      </c>
      <c r="W30" s="411"/>
      <c r="X30" s="411"/>
      <c r="Y30" s="2"/>
    </row>
    <row r="31" spans="4:25" ht="6" customHeight="1">
      <c r="D31" s="223"/>
      <c r="E31" s="1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2"/>
    </row>
    <row r="32" spans="4:25" ht="14.25">
      <c r="D32" s="221" t="s">
        <v>6</v>
      </c>
      <c r="E32" s="15"/>
      <c r="F32" s="66">
        <v>0</v>
      </c>
      <c r="G32" s="66"/>
      <c r="H32" s="66">
        <f>F30*$H$18</f>
        <v>226.53056660540258</v>
      </c>
      <c r="I32" s="66"/>
      <c r="J32" s="66">
        <f>J30*$J$18</f>
        <v>-267.6422491691091</v>
      </c>
      <c r="K32" s="66">
        <f>J30*$K$18</f>
        <v>-320.2070371744716</v>
      </c>
      <c r="L32" s="66">
        <f>J30*$L$18</f>
        <v>-267.6422491691091</v>
      </c>
      <c r="M32" s="66"/>
      <c r="N32" s="66">
        <f>N30*$N$18</f>
        <v>226.53056660540258</v>
      </c>
      <c r="O32" s="66">
        <f>N30*$O$18</f>
        <v>271.0210431550294</v>
      </c>
      <c r="P32" s="66">
        <f>N30*$P$18</f>
        <v>0</v>
      </c>
      <c r="Q32" s="66"/>
      <c r="R32" s="66">
        <f>R30*$R$18</f>
        <v>0</v>
      </c>
      <c r="S32" s="66">
        <f>R30*$S$18</f>
        <v>0</v>
      </c>
      <c r="T32" s="66">
        <f>R30*$T$18</f>
        <v>0</v>
      </c>
      <c r="U32" s="66"/>
      <c r="V32" s="66">
        <f>V30*$V$18</f>
        <v>0</v>
      </c>
      <c r="W32" s="66"/>
      <c r="X32" s="66"/>
      <c r="Y32" s="2"/>
    </row>
    <row r="33" spans="4:25" ht="14.25">
      <c r="D33" s="221" t="s">
        <v>2</v>
      </c>
      <c r="E33" s="15"/>
      <c r="F33" s="66">
        <v>0</v>
      </c>
      <c r="G33" s="66"/>
      <c r="H33" s="66">
        <f>J32*$B$19</f>
        <v>-100.1103709320085</v>
      </c>
      <c r="I33" s="66"/>
      <c r="J33" s="66">
        <f>H32*$B$19</f>
        <v>84.73273229734306</v>
      </c>
      <c r="K33" s="66"/>
      <c r="L33" s="66">
        <f>N32*$B$19</f>
        <v>84.73273229734306</v>
      </c>
      <c r="M33" s="66"/>
      <c r="N33" s="66">
        <f>L32*$B$19</f>
        <v>-100.1103709320085</v>
      </c>
      <c r="O33" s="66"/>
      <c r="P33" s="66">
        <f>R32*$B$19</f>
        <v>0</v>
      </c>
      <c r="Q33" s="66"/>
      <c r="R33" s="66">
        <f>P32*$B$19</f>
        <v>0</v>
      </c>
      <c r="S33" s="66"/>
      <c r="T33" s="66">
        <f>V32*$B$19</f>
        <v>0</v>
      </c>
      <c r="U33" s="66"/>
      <c r="V33" s="66">
        <f>T32*$B$19</f>
        <v>0</v>
      </c>
      <c r="W33" s="66"/>
      <c r="X33" s="66">
        <v>0</v>
      </c>
      <c r="Y33" s="2"/>
    </row>
    <row r="34" spans="4:25" ht="6" customHeight="1">
      <c r="D34" s="223"/>
      <c r="E34" s="1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2"/>
    </row>
    <row r="35" spans="4:25" ht="12.75">
      <c r="D35" s="223"/>
      <c r="E35" s="15"/>
      <c r="F35" s="411">
        <f>(F33+H33)*-1</f>
        <v>100.1103709320085</v>
      </c>
      <c r="G35" s="411"/>
      <c r="H35" s="411"/>
      <c r="I35" s="66"/>
      <c r="J35" s="411">
        <f>(J33+L33)*-1</f>
        <v>-169.46546459468613</v>
      </c>
      <c r="K35" s="411"/>
      <c r="L35" s="411"/>
      <c r="M35" s="66"/>
      <c r="N35" s="411">
        <f>(N33+P33)*-1</f>
        <v>100.1103709320085</v>
      </c>
      <c r="O35" s="411"/>
      <c r="P35" s="411"/>
      <c r="Q35" s="66"/>
      <c r="R35" s="411">
        <f>(R33+T33)*-1</f>
        <v>0</v>
      </c>
      <c r="S35" s="411"/>
      <c r="T35" s="411"/>
      <c r="U35" s="66"/>
      <c r="V35" s="411">
        <f>(V33+X33)*-1</f>
        <v>0</v>
      </c>
      <c r="W35" s="411"/>
      <c r="X35" s="411"/>
      <c r="Y35" s="2"/>
    </row>
    <row r="36" spans="4:25" ht="6" customHeight="1">
      <c r="D36" s="223"/>
      <c r="E36" s="1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2"/>
    </row>
    <row r="37" spans="4:25" ht="14.25">
      <c r="D37" s="221" t="s">
        <v>6</v>
      </c>
      <c r="E37" s="15"/>
      <c r="F37" s="66">
        <v>0</v>
      </c>
      <c r="G37" s="66"/>
      <c r="H37" s="66">
        <f>F35*$H$18</f>
        <v>45.579309975952555</v>
      </c>
      <c r="I37" s="66"/>
      <c r="J37" s="66">
        <f>J35*$J$18</f>
        <v>-53.017611767985805</v>
      </c>
      <c r="K37" s="66">
        <f>J35*$K$18</f>
        <v>-63.43024105871454</v>
      </c>
      <c r="L37" s="66">
        <f>J35*$L$18</f>
        <v>-53.017611767985805</v>
      </c>
      <c r="M37" s="66"/>
      <c r="N37" s="66">
        <f>N35*$N$18</f>
        <v>45.579309975952555</v>
      </c>
      <c r="O37" s="66">
        <f>N35*$O$18</f>
        <v>54.53106095605595</v>
      </c>
      <c r="P37" s="66">
        <f>N35*$P$18</f>
        <v>0</v>
      </c>
      <c r="Q37" s="66"/>
      <c r="R37" s="66">
        <f>R35*$R$18</f>
        <v>0</v>
      </c>
      <c r="S37" s="66">
        <f>R35*$S$18</f>
        <v>0</v>
      </c>
      <c r="T37" s="66">
        <f>R35*$T$18</f>
        <v>0</v>
      </c>
      <c r="U37" s="66"/>
      <c r="V37" s="66">
        <f>V35*$V$18</f>
        <v>0</v>
      </c>
      <c r="W37" s="66"/>
      <c r="X37" s="66"/>
      <c r="Y37" s="2"/>
    </row>
    <row r="38" spans="4:25" ht="14.25">
      <c r="D38" s="221" t="s">
        <v>2</v>
      </c>
      <c r="E38" s="15"/>
      <c r="F38" s="66">
        <v>0</v>
      </c>
      <c r="G38" s="66"/>
      <c r="H38" s="66">
        <f>J37*$B$19</f>
        <v>-19.83099752187733</v>
      </c>
      <c r="I38" s="66"/>
      <c r="J38" s="66">
        <f>H37*$B$19</f>
        <v>17.048734430693372</v>
      </c>
      <c r="K38" s="66"/>
      <c r="L38" s="66">
        <f>N37*$B$19</f>
        <v>17.048734430693372</v>
      </c>
      <c r="M38" s="66"/>
      <c r="N38" s="66">
        <f>L37*$B$19</f>
        <v>-19.83099752187733</v>
      </c>
      <c r="O38" s="66"/>
      <c r="P38" s="66">
        <f>R37*$B$19</f>
        <v>0</v>
      </c>
      <c r="Q38" s="66"/>
      <c r="R38" s="66">
        <f>P37*$B$19</f>
        <v>0</v>
      </c>
      <c r="S38" s="66"/>
      <c r="T38" s="66">
        <f>V37*$B$19</f>
        <v>0</v>
      </c>
      <c r="U38" s="66"/>
      <c r="V38" s="66">
        <f>T37*$B$19</f>
        <v>0</v>
      </c>
      <c r="W38" s="66"/>
      <c r="X38" s="66">
        <v>0</v>
      </c>
      <c r="Y38" s="2"/>
    </row>
    <row r="39" spans="4:25" ht="6" customHeight="1">
      <c r="D39" s="65"/>
      <c r="E39" s="1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2"/>
    </row>
    <row r="40" spans="4:25" ht="12.75">
      <c r="D40" s="65"/>
      <c r="E40" s="15"/>
      <c r="F40" s="411">
        <f>(F38+H38)*-1</f>
        <v>19.83099752187733</v>
      </c>
      <c r="G40" s="411"/>
      <c r="H40" s="411"/>
      <c r="I40" s="66"/>
      <c r="J40" s="411">
        <f>(J38+L38)*-1</f>
        <v>-34.097468861386744</v>
      </c>
      <c r="K40" s="411"/>
      <c r="L40" s="411"/>
      <c r="M40" s="66"/>
      <c r="N40" s="411">
        <f>(N38+P38)*-1</f>
        <v>19.83099752187733</v>
      </c>
      <c r="O40" s="411"/>
      <c r="P40" s="411"/>
      <c r="Q40" s="66"/>
      <c r="R40" s="411">
        <f>(R38+T38)*-1</f>
        <v>0</v>
      </c>
      <c r="S40" s="411"/>
      <c r="T40" s="411"/>
      <c r="U40" s="66"/>
      <c r="V40" s="411">
        <f>(V38+X38)*-1</f>
        <v>0</v>
      </c>
      <c r="W40" s="411"/>
      <c r="X40" s="411"/>
      <c r="Y40" s="2"/>
    </row>
    <row r="41" spans="4:25" ht="6" customHeight="1">
      <c r="D41" s="65"/>
      <c r="E41" s="1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2"/>
    </row>
    <row r="42" spans="4:25" ht="14.25">
      <c r="D42" s="221" t="s">
        <v>6</v>
      </c>
      <c r="E42" s="15"/>
      <c r="F42" s="66">
        <v>0</v>
      </c>
      <c r="G42" s="66"/>
      <c r="H42" s="66">
        <f>F40*$H$18</f>
        <v>9.02886658761738</v>
      </c>
      <c r="I42" s="66"/>
      <c r="J42" s="66">
        <f>J40*$J$18</f>
        <v>-10.667461778644148</v>
      </c>
      <c r="K42" s="66">
        <f>J40*$K$18</f>
        <v>-12.762545304098454</v>
      </c>
      <c r="L42" s="66">
        <f>J40*$L$18</f>
        <v>-10.667461778644148</v>
      </c>
      <c r="M42" s="66"/>
      <c r="N42" s="66">
        <f>N40*$N$18</f>
        <v>9.02886658761738</v>
      </c>
      <c r="O42" s="66">
        <f>N40*$O$18</f>
        <v>10.802130934259951</v>
      </c>
      <c r="P42" s="66">
        <f>N40*$P$18</f>
        <v>0</v>
      </c>
      <c r="Q42" s="66"/>
      <c r="R42" s="66">
        <f>R40*$R$18</f>
        <v>0</v>
      </c>
      <c r="S42" s="66">
        <f>R40*$S$18</f>
        <v>0</v>
      </c>
      <c r="T42" s="66">
        <f>R40*$T$18</f>
        <v>0</v>
      </c>
      <c r="U42" s="66"/>
      <c r="V42" s="66">
        <f>V40*$V$18</f>
        <v>0</v>
      </c>
      <c r="W42" s="66"/>
      <c r="X42" s="66"/>
      <c r="Y42" s="2"/>
    </row>
    <row r="43" spans="4:25" ht="14.25">
      <c r="D43" s="221" t="s">
        <v>2</v>
      </c>
      <c r="E43" s="15"/>
      <c r="F43" s="66">
        <v>0</v>
      </c>
      <c r="G43" s="66"/>
      <c r="H43" s="66">
        <f>J42*$B$19</f>
        <v>-3.9901157566805674</v>
      </c>
      <c r="I43" s="66"/>
      <c r="J43" s="66">
        <f>H42*$B$19</f>
        <v>3.3772066480089893</v>
      </c>
      <c r="K43" s="66"/>
      <c r="L43" s="66">
        <f>N42*$B$19</f>
        <v>3.3772066480089893</v>
      </c>
      <c r="M43" s="66"/>
      <c r="N43" s="66">
        <f>L42*$B$19</f>
        <v>-3.9901157566805674</v>
      </c>
      <c r="O43" s="66"/>
      <c r="P43" s="66">
        <f>R42*$B$19</f>
        <v>0</v>
      </c>
      <c r="Q43" s="66"/>
      <c r="R43" s="66">
        <f>P42*$B$19</f>
        <v>0</v>
      </c>
      <c r="S43" s="66"/>
      <c r="T43" s="66">
        <f>V42*$B$19</f>
        <v>0</v>
      </c>
      <c r="U43" s="66"/>
      <c r="V43" s="66">
        <f>T42*$B$19</f>
        <v>0</v>
      </c>
      <c r="W43" s="66"/>
      <c r="X43" s="66">
        <v>0</v>
      </c>
      <c r="Y43" s="2"/>
    </row>
    <row r="44" spans="4:25" ht="6" customHeight="1">
      <c r="D44" s="6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2"/>
    </row>
    <row r="45" spans="4:25" ht="12.75">
      <c r="D45" s="65"/>
      <c r="E45" s="15"/>
      <c r="F45" s="411">
        <f>(F43+H43)*-1</f>
        <v>3.9901157566805674</v>
      </c>
      <c r="G45" s="411"/>
      <c r="H45" s="411"/>
      <c r="I45" s="66"/>
      <c r="J45" s="411">
        <f>(J43+L43)*-1</f>
        <v>-6.754413296017979</v>
      </c>
      <c r="K45" s="411"/>
      <c r="L45" s="411"/>
      <c r="M45" s="66"/>
      <c r="N45" s="411">
        <f>(N43+P43)*-1</f>
        <v>3.9901157566805674</v>
      </c>
      <c r="O45" s="411"/>
      <c r="P45" s="411"/>
      <c r="Q45" s="66"/>
      <c r="R45" s="411">
        <f>(R43+T43)*-1</f>
        <v>0</v>
      </c>
      <c r="S45" s="411"/>
      <c r="T45" s="411"/>
      <c r="U45" s="66"/>
      <c r="V45" s="411">
        <f>(V43+X43)*-1</f>
        <v>0</v>
      </c>
      <c r="W45" s="411"/>
      <c r="X45" s="411"/>
      <c r="Y45" s="2"/>
    </row>
    <row r="46" spans="4:25" ht="6" customHeight="1">
      <c r="D46" s="6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2"/>
    </row>
    <row r="47" spans="4:25" ht="14.25">
      <c r="D47" s="221" t="s">
        <v>6</v>
      </c>
      <c r="E47" s="15"/>
      <c r="F47" s="66">
        <v>0</v>
      </c>
      <c r="G47" s="66"/>
      <c r="H47" s="66">
        <f>F45*$H$18</f>
        <v>1.8166621621769203</v>
      </c>
      <c r="I47" s="66"/>
      <c r="J47" s="66">
        <f>J45*$J$18</f>
        <v>-2.1131317977104316</v>
      </c>
      <c r="K47" s="66">
        <f>J45*$K$18</f>
        <v>-2.5281497005971167</v>
      </c>
      <c r="L47" s="66">
        <f>J45*$L$18</f>
        <v>-2.1131317977104316</v>
      </c>
      <c r="M47" s="66"/>
      <c r="N47" s="66">
        <f>N45*$N$18</f>
        <v>1.8166621621769203</v>
      </c>
      <c r="O47" s="66">
        <f>N45*$O$18</f>
        <v>2.1734535945036475</v>
      </c>
      <c r="P47" s="66">
        <f>N45*$P$18</f>
        <v>0</v>
      </c>
      <c r="Q47" s="66"/>
      <c r="R47" s="66">
        <f>R45*$R$18</f>
        <v>0</v>
      </c>
      <c r="S47" s="66">
        <f>R45*$S$18</f>
        <v>0</v>
      </c>
      <c r="T47" s="66">
        <f>R45*$T$18</f>
        <v>0</v>
      </c>
      <c r="U47" s="66"/>
      <c r="V47" s="66">
        <f>V45*$V$18</f>
        <v>0</v>
      </c>
      <c r="W47" s="66"/>
      <c r="X47" s="66"/>
      <c r="Y47" s="2"/>
    </row>
    <row r="48" spans="4:25" ht="14.25">
      <c r="D48" s="221" t="s">
        <v>2</v>
      </c>
      <c r="E48" s="15"/>
      <c r="F48" s="66">
        <v>0</v>
      </c>
      <c r="G48" s="66"/>
      <c r="H48" s="66">
        <f>J47*$B$19</f>
        <v>-0.7904073768388793</v>
      </c>
      <c r="I48" s="66"/>
      <c r="J48" s="66">
        <f>H47*$B$19</f>
        <v>0.6795142526199741</v>
      </c>
      <c r="K48" s="66"/>
      <c r="L48" s="66">
        <f>N47*$B$19</f>
        <v>0.6795142526199741</v>
      </c>
      <c r="M48" s="66"/>
      <c r="N48" s="66">
        <f>L47*$B$19</f>
        <v>-0.7904073768388793</v>
      </c>
      <c r="O48" s="66"/>
      <c r="P48" s="66">
        <f>R47*$B$19</f>
        <v>0</v>
      </c>
      <c r="Q48" s="66"/>
      <c r="R48" s="66">
        <f>P47*$B$19</f>
        <v>0</v>
      </c>
      <c r="S48" s="66"/>
      <c r="T48" s="66">
        <f>V47*$B$19</f>
        <v>0</v>
      </c>
      <c r="U48" s="66"/>
      <c r="V48" s="66">
        <f>T47*$B$19</f>
        <v>0</v>
      </c>
      <c r="W48" s="66"/>
      <c r="X48" s="66">
        <v>0</v>
      </c>
      <c r="Y48" s="2"/>
    </row>
    <row r="49" spans="4:25" ht="6" customHeight="1">
      <c r="D49" s="6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"/>
    </row>
    <row r="50" spans="4:25" ht="12.75">
      <c r="D50" s="65"/>
      <c r="E50" s="15"/>
      <c r="F50" s="411">
        <f>(F48+H48)*-1</f>
        <v>0.7904073768388793</v>
      </c>
      <c r="G50" s="411"/>
      <c r="H50" s="411"/>
      <c r="I50" s="66"/>
      <c r="J50" s="411">
        <f>(J48+L48)*-1</f>
        <v>-1.3590285052399482</v>
      </c>
      <c r="K50" s="411"/>
      <c r="L50" s="411"/>
      <c r="M50" s="66"/>
      <c r="N50" s="411">
        <f>(N48+P48)*-1</f>
        <v>0.7904073768388793</v>
      </c>
      <c r="O50" s="411"/>
      <c r="P50" s="411"/>
      <c r="Q50" s="66"/>
      <c r="R50" s="411">
        <f>(R48+T48)*-1</f>
        <v>0</v>
      </c>
      <c r="S50" s="411"/>
      <c r="T50" s="411"/>
      <c r="U50" s="66"/>
      <c r="V50" s="411">
        <f>(V48+X48)*-1</f>
        <v>0</v>
      </c>
      <c r="W50" s="411"/>
      <c r="X50" s="411"/>
      <c r="Y50" s="2"/>
    </row>
    <row r="51" spans="4:25" ht="6" customHeight="1">
      <c r="D51" s="6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2"/>
    </row>
    <row r="52" spans="4:25" ht="15" thickBot="1">
      <c r="D52" s="221" t="s">
        <v>6</v>
      </c>
      <c r="E52" s="15"/>
      <c r="F52" s="66">
        <v>0</v>
      </c>
      <c r="G52" s="224"/>
      <c r="H52" s="66">
        <f>F50*$H$18</f>
        <v>0.3598650419614026</v>
      </c>
      <c r="I52" s="66"/>
      <c r="J52" s="66">
        <f>J50*$J$18</f>
        <v>-0.4251748038738564</v>
      </c>
      <c r="K52" s="224">
        <f>J50*$K$18</f>
        <v>-0.5086788974922356</v>
      </c>
      <c r="L52" s="66">
        <f>J50*$L$18</f>
        <v>-0.4251748038738564</v>
      </c>
      <c r="M52" s="66"/>
      <c r="N52" s="66">
        <f>N50*$N$18</f>
        <v>0.3598650419614026</v>
      </c>
      <c r="O52" s="224">
        <f>N50*$O$18</f>
        <v>0.43054233487747673</v>
      </c>
      <c r="P52" s="66">
        <f>N50*$P$18</f>
        <v>0</v>
      </c>
      <c r="Q52" s="66"/>
      <c r="R52" s="66">
        <f>R50*$R$18</f>
        <v>0</v>
      </c>
      <c r="S52" s="224">
        <f>R50*$S$18</f>
        <v>0</v>
      </c>
      <c r="T52" s="66">
        <f>R50*$T$18</f>
        <v>0</v>
      </c>
      <c r="U52" s="66"/>
      <c r="V52" s="66">
        <f>V50*$V$18</f>
        <v>0</v>
      </c>
      <c r="W52" s="224"/>
      <c r="X52" s="66"/>
      <c r="Y52" s="2"/>
    </row>
    <row r="53" spans="3:25" ht="15" thickBot="1">
      <c r="C53" t="s">
        <v>144</v>
      </c>
      <c r="D53" s="221"/>
      <c r="E53" s="15"/>
      <c r="F53" s="225">
        <f>F19+F22+F23+F27+F28+F32+F33+F37+F38+F42+F43+F47+F48+F52</f>
        <v>-3502.7999999999997</v>
      </c>
      <c r="G53" s="230">
        <f aca="true" t="shared" si="0" ref="G53:X53">G19+G22+G23+G27+G28+G32+G33+G37+G38+G42+G43+G47+G48+G52</f>
        <v>-7887.228552935214</v>
      </c>
      <c r="H53" s="226">
        <f t="shared" si="0"/>
        <v>9682.908325535534</v>
      </c>
      <c r="I53" s="66">
        <f t="shared" si="0"/>
        <v>0</v>
      </c>
      <c r="J53" s="225">
        <f t="shared" si="0"/>
        <v>-28293.889713854485</v>
      </c>
      <c r="K53" s="230">
        <f t="shared" si="0"/>
        <v>-10024.738916353632</v>
      </c>
      <c r="L53" s="226">
        <f t="shared" si="0"/>
        <v>38318.62863020811</v>
      </c>
      <c r="M53" s="66">
        <f t="shared" si="0"/>
        <v>0</v>
      </c>
      <c r="N53" s="225">
        <f t="shared" si="0"/>
        <v>-23193.962834239614</v>
      </c>
      <c r="O53" s="230">
        <f t="shared" si="0"/>
        <v>23193.962834239617</v>
      </c>
      <c r="P53" s="226">
        <f t="shared" si="0"/>
        <v>0</v>
      </c>
      <c r="Q53" s="66">
        <f t="shared" si="0"/>
        <v>0</v>
      </c>
      <c r="R53" s="225">
        <f t="shared" si="0"/>
        <v>0</v>
      </c>
      <c r="S53" s="230">
        <f t="shared" si="0"/>
        <v>0</v>
      </c>
      <c r="T53" s="226">
        <f t="shared" si="0"/>
        <v>0</v>
      </c>
      <c r="U53" s="66">
        <f t="shared" si="0"/>
        <v>0</v>
      </c>
      <c r="V53" s="225">
        <f t="shared" si="0"/>
        <v>0</v>
      </c>
      <c r="W53" s="230">
        <f t="shared" si="0"/>
        <v>0</v>
      </c>
      <c r="X53" s="226">
        <f t="shared" si="0"/>
        <v>0</v>
      </c>
      <c r="Y53" s="2"/>
    </row>
    <row r="54" spans="3:24" ht="13.5">
      <c r="C54" t="s">
        <v>143</v>
      </c>
      <c r="F54" s="2"/>
      <c r="G54" s="2"/>
      <c r="H54" s="506">
        <f>(-H53+J53)/2+(B4*H12^2/8)</f>
        <v>7985.350230304986</v>
      </c>
      <c r="I54" s="507"/>
      <c r="J54" s="508"/>
      <c r="K54" s="2"/>
      <c r="L54" s="506">
        <f>(-L53+N53)/2+($B$4*L12^2/8)</f>
        <v>28413.35214777614</v>
      </c>
      <c r="M54" s="507"/>
      <c r="N54" s="508"/>
      <c r="O54" s="2"/>
      <c r="P54" s="506">
        <f>(-P53+R53)/2+($B$4*P12^2/8)</f>
        <v>0</v>
      </c>
      <c r="Q54" s="507"/>
      <c r="R54" s="508"/>
      <c r="S54" s="2"/>
      <c r="T54" s="506">
        <f>(-T53+V53)/2+($B$4*T12^2/8)</f>
        <v>0</v>
      </c>
      <c r="U54" s="507"/>
      <c r="V54" s="508"/>
      <c r="W54" s="2"/>
      <c r="X54" s="2"/>
    </row>
    <row r="56" spans="1:24" ht="12.75">
      <c r="A56" s="15" t="s">
        <v>176</v>
      </c>
      <c r="B56" s="232">
        <f>B16/$G$14</f>
        <v>0.5</v>
      </c>
      <c r="C56" s="424" t="s">
        <v>179</v>
      </c>
      <c r="D56" s="425"/>
      <c r="E56" s="425"/>
      <c r="F56" s="426"/>
      <c r="G56" s="30">
        <f>G53*B56</f>
        <v>-3943.614276467607</v>
      </c>
      <c r="H56" s="85"/>
      <c r="I56" s="28"/>
      <c r="J56" s="33"/>
      <c r="K56" s="233">
        <f>K53*B56</f>
        <v>-5012.369458176816</v>
      </c>
      <c r="L56" s="85"/>
      <c r="M56" s="28"/>
      <c r="N56" s="33"/>
      <c r="O56" s="77">
        <f>O53*B56</f>
        <v>11596.981417119809</v>
      </c>
      <c r="P56" s="85"/>
      <c r="Q56" s="28"/>
      <c r="R56" s="33"/>
      <c r="S56" s="77">
        <f>S53*B56</f>
        <v>0</v>
      </c>
      <c r="T56" s="85"/>
      <c r="U56" s="28"/>
      <c r="V56" s="33"/>
      <c r="W56" s="15">
        <f>W53*B56</f>
        <v>0</v>
      </c>
      <c r="X56" s="1"/>
    </row>
    <row r="57" spans="1:24" ht="12.75">
      <c r="A57" s="15" t="s">
        <v>177</v>
      </c>
      <c r="B57" s="232">
        <f>B17/$G$14</f>
        <v>0.5</v>
      </c>
      <c r="C57" s="424" t="s">
        <v>180</v>
      </c>
      <c r="D57" s="425"/>
      <c r="E57" s="425"/>
      <c r="F57" s="426"/>
      <c r="G57" s="30">
        <f>G53*B57</f>
        <v>-3943.614276467607</v>
      </c>
      <c r="H57" s="32"/>
      <c r="I57" s="5"/>
      <c r="J57" s="29"/>
      <c r="K57" s="233">
        <f>K53*B57</f>
        <v>-5012.369458176816</v>
      </c>
      <c r="L57" s="32"/>
      <c r="M57" s="5"/>
      <c r="N57" s="29"/>
      <c r="O57" s="77">
        <f>O53*B57</f>
        <v>11596.981417119809</v>
      </c>
      <c r="P57" s="32"/>
      <c r="Q57" s="5"/>
      <c r="R57" s="29"/>
      <c r="S57" s="77">
        <f>S53*B57</f>
        <v>0</v>
      </c>
      <c r="T57" s="32"/>
      <c r="U57" s="5"/>
      <c r="V57" s="29"/>
      <c r="W57" s="15">
        <f>W53*B57</f>
        <v>0</v>
      </c>
      <c r="X57" s="1"/>
    </row>
    <row r="59" ht="12.75">
      <c r="H59" s="1"/>
    </row>
    <row r="60" spans="4:8" ht="14.25">
      <c r="D60" s="227" t="s">
        <v>178</v>
      </c>
      <c r="G60" s="1"/>
      <c r="H60" s="1"/>
    </row>
    <row r="61" spans="7:8" ht="12.75">
      <c r="G61" s="1"/>
      <c r="H61" s="1"/>
    </row>
    <row r="62" spans="7:23" ht="14.25">
      <c r="G62" s="64" t="s">
        <v>145</v>
      </c>
      <c r="H62" s="1"/>
      <c r="K62" s="64" t="s">
        <v>145</v>
      </c>
      <c r="O62" s="64" t="s">
        <v>145</v>
      </c>
      <c r="S62" s="64" t="s">
        <v>145</v>
      </c>
      <c r="W62" s="64" t="s">
        <v>145</v>
      </c>
    </row>
    <row r="63" spans="5:24" ht="12.75">
      <c r="E63" s="237"/>
      <c r="F63" s="237"/>
      <c r="G63" s="238" t="s">
        <v>145</v>
      </c>
      <c r="H63" s="239"/>
      <c r="I63" s="237"/>
      <c r="J63" s="237"/>
      <c r="K63" s="238" t="s">
        <v>145</v>
      </c>
      <c r="L63" s="237"/>
      <c r="M63" s="237"/>
      <c r="N63" s="237"/>
      <c r="O63" s="238" t="s">
        <v>145</v>
      </c>
      <c r="P63" s="237"/>
      <c r="Q63" s="237"/>
      <c r="R63" s="237"/>
      <c r="S63" s="238" t="s">
        <v>145</v>
      </c>
      <c r="T63" s="237"/>
      <c r="U63" s="237"/>
      <c r="V63" s="237"/>
      <c r="W63" s="238" t="s">
        <v>145</v>
      </c>
      <c r="X63" s="237"/>
    </row>
    <row r="64" spans="5:24" ht="12.75">
      <c r="E64" s="237"/>
      <c r="F64" s="237"/>
      <c r="G64" s="238" t="s">
        <v>145</v>
      </c>
      <c r="H64" s="239"/>
      <c r="I64" s="237"/>
      <c r="J64" s="240">
        <f>H54</f>
        <v>7985.350230304986</v>
      </c>
      <c r="K64" s="238" t="s">
        <v>145</v>
      </c>
      <c r="L64" s="237"/>
      <c r="M64" s="237"/>
      <c r="N64" s="240">
        <f>L54</f>
        <v>28413.35214777614</v>
      </c>
      <c r="O64" s="238" t="s">
        <v>145</v>
      </c>
      <c r="P64" s="237"/>
      <c r="Q64" s="237"/>
      <c r="R64" s="240">
        <f>P54</f>
        <v>0</v>
      </c>
      <c r="S64" s="238" t="s">
        <v>145</v>
      </c>
      <c r="T64" s="237"/>
      <c r="U64" s="237"/>
      <c r="V64" s="240">
        <f>T54</f>
        <v>0</v>
      </c>
      <c r="W64" s="238" t="s">
        <v>145</v>
      </c>
      <c r="X64" s="237"/>
    </row>
    <row r="65" spans="5:24" ht="12.75">
      <c r="E65" s="237"/>
      <c r="F65" s="241"/>
      <c r="G65" s="242" t="s">
        <v>145</v>
      </c>
      <c r="H65" s="241"/>
      <c r="I65" s="241"/>
      <c r="J65" s="241"/>
      <c r="K65" s="242" t="s">
        <v>145</v>
      </c>
      <c r="L65" s="241"/>
      <c r="M65" s="241"/>
      <c r="N65" s="241"/>
      <c r="O65" s="242" t="s">
        <v>145</v>
      </c>
      <c r="P65" s="241"/>
      <c r="Q65" s="241"/>
      <c r="R65" s="241"/>
      <c r="S65" s="242" t="s">
        <v>145</v>
      </c>
      <c r="T65" s="241"/>
      <c r="U65" s="241"/>
      <c r="V65" s="241"/>
      <c r="W65" s="242" t="s">
        <v>145</v>
      </c>
      <c r="X65" s="241"/>
    </row>
    <row r="66" spans="5:24" ht="12.75">
      <c r="E66" s="237"/>
      <c r="F66" s="237"/>
      <c r="G66" s="238" t="s">
        <v>145</v>
      </c>
      <c r="H66" s="239"/>
      <c r="I66" s="237"/>
      <c r="J66" s="237"/>
      <c r="K66" s="238" t="s">
        <v>145</v>
      </c>
      <c r="L66" s="237"/>
      <c r="M66" s="237"/>
      <c r="N66" s="237"/>
      <c r="O66" s="238" t="s">
        <v>145</v>
      </c>
      <c r="P66" s="237"/>
      <c r="Q66" s="237"/>
      <c r="R66" s="237"/>
      <c r="S66" s="238" t="s">
        <v>145</v>
      </c>
      <c r="T66" s="237"/>
      <c r="U66" s="237"/>
      <c r="V66" s="237"/>
      <c r="W66" s="238" t="s">
        <v>145</v>
      </c>
      <c r="X66" s="237"/>
    </row>
    <row r="67" spans="5:24" ht="12.75">
      <c r="E67" s="237"/>
      <c r="F67" s="237"/>
      <c r="G67" s="238" t="s">
        <v>145</v>
      </c>
      <c r="H67" s="239"/>
      <c r="I67" s="237"/>
      <c r="J67" s="237"/>
      <c r="K67" s="238" t="s">
        <v>145</v>
      </c>
      <c r="L67" s="237"/>
      <c r="M67" s="237"/>
      <c r="N67" s="237"/>
      <c r="O67" s="238" t="s">
        <v>145</v>
      </c>
      <c r="P67" s="237"/>
      <c r="Q67" s="237"/>
      <c r="R67" s="237"/>
      <c r="S67" s="238" t="s">
        <v>145</v>
      </c>
      <c r="T67" s="237"/>
      <c r="U67" s="237"/>
      <c r="V67" s="237"/>
      <c r="W67" s="238" t="s">
        <v>145</v>
      </c>
      <c r="X67" s="237"/>
    </row>
    <row r="68" spans="5:24" ht="12.75">
      <c r="E68" s="237"/>
      <c r="F68" s="237"/>
      <c r="G68" s="238" t="s">
        <v>145</v>
      </c>
      <c r="H68" s="239"/>
      <c r="I68" s="237"/>
      <c r="J68" s="237"/>
      <c r="K68" s="238" t="s">
        <v>145</v>
      </c>
      <c r="L68" s="237"/>
      <c r="M68" s="237"/>
      <c r="N68" s="237"/>
      <c r="O68" s="238" t="s">
        <v>145</v>
      </c>
      <c r="P68" s="237"/>
      <c r="Q68" s="237"/>
      <c r="R68" s="237"/>
      <c r="S68" s="238" t="s">
        <v>145</v>
      </c>
      <c r="T68" s="237"/>
      <c r="U68" s="237"/>
      <c r="V68" s="237"/>
      <c r="W68" s="238" t="s">
        <v>145</v>
      </c>
      <c r="X68" s="237"/>
    </row>
    <row r="69" spans="1:24" ht="12.75">
      <c r="A69" s="19"/>
      <c r="B69" s="218"/>
      <c r="E69" s="237"/>
      <c r="F69" s="259">
        <f>IF(F12&gt;0,(-B4*(F12-G12/2)^2)/2,0)</f>
        <v>-1970.3249999999998</v>
      </c>
      <c r="G69" s="238" t="s">
        <v>145</v>
      </c>
      <c r="H69" s="243">
        <f>IF($H$12&gt;0,((($B$4*$H$12)/2+(($H$53+$J$53)/$H$12))*($G$12/2))-H53-($B$4*($G$12/2)^2)/2,0)</f>
        <v>-5880.030820504858</v>
      </c>
      <c r="I69" s="237"/>
      <c r="J69" s="246">
        <f>IF($H$12&gt;0,((($B$4*$H$12)/2-(($H$53+$J$53)/$H$12))*($K$12/2))+$J$53-($B$4*($K$12/2)^2)/2,0)</f>
        <v>-22814.347218885163</v>
      </c>
      <c r="K69" s="238" t="s">
        <v>145</v>
      </c>
      <c r="L69" s="243">
        <f>IF($L$12&gt;0,((($B$4*$L$12)/2+(($L$53+$N$53)/$L$12))*($K$12/2))-L53-($B$4*($K$12/2)^2)/2,0)</f>
        <v>-30879.303711839242</v>
      </c>
      <c r="M69" s="237"/>
      <c r="N69" s="246">
        <f>IF($L$12&gt;0,((($B$4*$L$12)/2-(($L$53+$N$53)/$L$12))*($O$12/2))+N53-($B$4*($O$12/2)^2)/2,0)</f>
        <v>-16674.629752608485</v>
      </c>
      <c r="O69" s="238" t="s">
        <v>145</v>
      </c>
      <c r="P69" s="243">
        <f>IF($P$12&gt;0,((($B$4*$P$12)/2+(($P$53+$R$53)/$P$12))*($O$12/2))-P53-($B$4*($O$12/2)^2)/2,0)</f>
        <v>0</v>
      </c>
      <c r="Q69" s="237"/>
      <c r="R69" s="246">
        <f>IF($P$12&gt;0,((($B$4*$P$12)/2-(($P$53+$R$53)/$P$12))*($S$12/2))+R53-($B$4*($S$12/2)^2)/2,0)</f>
        <v>0</v>
      </c>
      <c r="S69" s="238" t="s">
        <v>145</v>
      </c>
      <c r="T69" s="243">
        <f>IF($T$12&gt;0,((($B$4*$T$12)/2+(($T$53+$V$53)/$T$12))*($S$12/2))-T53-($B$4*($S$12/2)^2)/2,0)</f>
        <v>0</v>
      </c>
      <c r="U69" s="237"/>
      <c r="V69" s="246">
        <f>IF($T$12&gt;0,((($B$4*$T$12)/2-(($T$53+$V$53)/$T$12))*($W$12/2))+V53-($B$4*($W$12/2)^2)/2,0)</f>
        <v>0</v>
      </c>
      <c r="W69" s="238" t="s">
        <v>145</v>
      </c>
      <c r="X69" s="244">
        <f>IF(X12&gt;0,(-B4*(X12-W12/2)^2)/2,0)</f>
        <v>0</v>
      </c>
    </row>
    <row r="70" spans="5:24" ht="12.75"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</row>
    <row r="71" spans="5:24" ht="12.75">
      <c r="E71" s="237"/>
      <c r="F71" s="245"/>
      <c r="G71" s="243"/>
      <c r="H71" s="246"/>
      <c r="I71" s="243"/>
      <c r="J71" s="246"/>
      <c r="K71" s="243"/>
      <c r="L71" s="246"/>
      <c r="M71" s="243"/>
      <c r="N71" s="246"/>
      <c r="O71" s="247"/>
      <c r="P71" s="239"/>
      <c r="Q71" s="237"/>
      <c r="R71" s="237"/>
      <c r="S71" s="237"/>
      <c r="T71" s="237"/>
      <c r="U71" s="237"/>
      <c r="V71" s="237"/>
      <c r="W71" s="237"/>
      <c r="X71" s="237"/>
    </row>
    <row r="72" spans="5:24" ht="12.75"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</row>
    <row r="73" spans="5:24" ht="12.75"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</row>
    <row r="74" spans="5:24" ht="12.75">
      <c r="E74" s="237"/>
      <c r="F74" s="237"/>
      <c r="G74" s="238" t="s">
        <v>145</v>
      </c>
      <c r="H74" s="237"/>
      <c r="I74" s="237"/>
      <c r="J74" s="237"/>
      <c r="K74" s="238" t="s">
        <v>145</v>
      </c>
      <c r="L74" s="237"/>
      <c r="M74" s="237"/>
      <c r="N74" s="237"/>
      <c r="O74" s="238" t="s">
        <v>145</v>
      </c>
      <c r="P74" s="237"/>
      <c r="Q74" s="237"/>
      <c r="R74" s="237"/>
      <c r="S74" s="238" t="s">
        <v>145</v>
      </c>
      <c r="T74" s="237"/>
      <c r="U74" s="237"/>
      <c r="V74" s="237"/>
      <c r="W74" s="238" t="s">
        <v>145</v>
      </c>
      <c r="X74" s="237"/>
    </row>
    <row r="75" spans="5:24" ht="12.75">
      <c r="E75" s="237"/>
      <c r="F75" s="248">
        <f>IF($H$12&gt;0,($B$4*$H$12)/2+(($H$53+$J$53)/$H$12),0)</f>
        <v>16087.21002012271</v>
      </c>
      <c r="G75" s="249" t="s">
        <v>145</v>
      </c>
      <c r="H75" s="250"/>
      <c r="I75" s="250"/>
      <c r="J75" s="248">
        <f>IF($H$12&gt;0,($B$4*$H$12)/2-(($H$53+$J$53)/$H$12),0)</f>
        <v>22793.869979877287</v>
      </c>
      <c r="K75" s="249" t="s">
        <v>145</v>
      </c>
      <c r="L75" s="250"/>
      <c r="M75" s="250"/>
      <c r="N75" s="248">
        <f>IF($L$12&gt;0,($B$4*$L$12)/2-(($L$53+$N$53)/$L$12),0)</f>
        <v>26953.032326524513</v>
      </c>
      <c r="O75" s="249" t="s">
        <v>145</v>
      </c>
      <c r="P75" s="250"/>
      <c r="Q75" s="250"/>
      <c r="R75" s="248">
        <f>IF($P$12&gt;0,($B$4*$P$12)/2-(($P$53+$R$53)/$P$12),0)</f>
        <v>0</v>
      </c>
      <c r="S75" s="249" t="s">
        <v>145</v>
      </c>
      <c r="T75" s="251"/>
      <c r="U75" s="251"/>
      <c r="V75" s="248">
        <f>IF($T$12&gt;0,($B$4*$T$12)/2-(($T$53+$V$53)/$T$12),0)</f>
        <v>0</v>
      </c>
      <c r="W75" s="249" t="s">
        <v>145</v>
      </c>
      <c r="X75" s="250"/>
    </row>
    <row r="76" spans="5:24" ht="12.75">
      <c r="E76" s="237"/>
      <c r="F76" s="252"/>
      <c r="G76" s="253" t="s">
        <v>145</v>
      </c>
      <c r="H76" s="252"/>
      <c r="I76" s="252"/>
      <c r="J76" s="252"/>
      <c r="K76" s="253" t="s">
        <v>145</v>
      </c>
      <c r="L76" s="252"/>
      <c r="M76" s="252"/>
      <c r="N76" s="252"/>
      <c r="O76" s="253" t="s">
        <v>145</v>
      </c>
      <c r="P76" s="252"/>
      <c r="Q76" s="252"/>
      <c r="R76" s="252"/>
      <c r="S76" s="253" t="s">
        <v>145</v>
      </c>
      <c r="T76" s="252"/>
      <c r="U76" s="252"/>
      <c r="V76" s="252"/>
      <c r="W76" s="253" t="s">
        <v>145</v>
      </c>
      <c r="X76" s="252"/>
    </row>
    <row r="77" spans="5:24" ht="12.75">
      <c r="E77" s="237"/>
      <c r="F77" s="254"/>
      <c r="G77" s="255" t="s">
        <v>145</v>
      </c>
      <c r="H77" s="254"/>
      <c r="I77" s="254"/>
      <c r="J77" s="254"/>
      <c r="K77" s="255" t="s">
        <v>145</v>
      </c>
      <c r="L77" s="254"/>
      <c r="M77" s="254"/>
      <c r="N77" s="254"/>
      <c r="O77" s="255" t="s">
        <v>145</v>
      </c>
      <c r="P77" s="254"/>
      <c r="Q77" s="254"/>
      <c r="R77" s="254"/>
      <c r="S77" s="255" t="s">
        <v>145</v>
      </c>
      <c r="T77" s="254"/>
      <c r="U77" s="254"/>
      <c r="V77" s="254"/>
      <c r="W77" s="255" t="s">
        <v>145</v>
      </c>
      <c r="X77" s="254"/>
    </row>
    <row r="78" spans="5:24" ht="12.75">
      <c r="E78" s="237"/>
      <c r="F78" s="250"/>
      <c r="G78" s="249" t="s">
        <v>145</v>
      </c>
      <c r="H78" s="250"/>
      <c r="I78" s="250"/>
      <c r="J78" s="250"/>
      <c r="K78" s="249" t="s">
        <v>145</v>
      </c>
      <c r="L78" s="250"/>
      <c r="M78" s="250"/>
      <c r="N78" s="250"/>
      <c r="O78" s="249" t="s">
        <v>145</v>
      </c>
      <c r="P78" s="250"/>
      <c r="Q78" s="250"/>
      <c r="R78" s="250"/>
      <c r="S78" s="249" t="s">
        <v>145</v>
      </c>
      <c r="T78" s="250"/>
      <c r="U78" s="250"/>
      <c r="V78" s="250"/>
      <c r="W78" s="249" t="s">
        <v>145</v>
      </c>
      <c r="X78" s="250"/>
    </row>
    <row r="79" spans="5:24" ht="12.75">
      <c r="E79" s="237"/>
      <c r="F79" s="250"/>
      <c r="G79" s="249" t="s">
        <v>145</v>
      </c>
      <c r="H79" s="250"/>
      <c r="I79" s="250"/>
      <c r="J79" s="250"/>
      <c r="K79" s="249" t="s">
        <v>145</v>
      </c>
      <c r="L79" s="250"/>
      <c r="M79" s="250"/>
      <c r="N79" s="250"/>
      <c r="O79" s="249" t="s">
        <v>145</v>
      </c>
      <c r="P79" s="250"/>
      <c r="Q79" s="250"/>
      <c r="R79" s="250"/>
      <c r="S79" s="249" t="s">
        <v>145</v>
      </c>
      <c r="T79" s="250"/>
      <c r="U79" s="250"/>
      <c r="V79" s="250"/>
      <c r="W79" s="249" t="s">
        <v>145</v>
      </c>
      <c r="X79" s="250"/>
    </row>
    <row r="80" spans="5:24" ht="12.75">
      <c r="E80" s="237"/>
      <c r="F80" s="250"/>
      <c r="G80" s="249" t="s">
        <v>145</v>
      </c>
      <c r="H80" s="256">
        <f>$B$4*$F$12</f>
        <v>7005.599999999999</v>
      </c>
      <c r="I80" s="250"/>
      <c r="J80" s="250"/>
      <c r="K80" s="249" t="s">
        <v>145</v>
      </c>
      <c r="L80" s="256">
        <f>IF($L$12&gt;0,($B$4*$L$12)/2+(($L$53+$N$53)/$L$12),0)</f>
        <v>30632.999673475486</v>
      </c>
      <c r="M80" s="250"/>
      <c r="N80" s="250"/>
      <c r="O80" s="249" t="s">
        <v>145</v>
      </c>
      <c r="P80" s="256">
        <f>IF($P$12&gt;0,($B$4*$P$12)/2+(($P$53+$R$53)/$P$12),0)</f>
        <v>0</v>
      </c>
      <c r="Q80" s="250"/>
      <c r="R80" s="250"/>
      <c r="S80" s="249" t="s">
        <v>145</v>
      </c>
      <c r="T80" s="256">
        <f>IF($T$12&gt;0,($B$4*$T$12)/2+(($T$53+$V$53)/$T$12),0)</f>
        <v>0</v>
      </c>
      <c r="U80" s="250"/>
      <c r="V80" s="250"/>
      <c r="W80" s="249" t="s">
        <v>145</v>
      </c>
      <c r="X80" s="256">
        <f>$B$4*$X$12</f>
        <v>0</v>
      </c>
    </row>
    <row r="81" spans="5:24" ht="12.75">
      <c r="E81" s="237"/>
      <c r="F81" s="237"/>
      <c r="G81" s="238" t="s">
        <v>145</v>
      </c>
      <c r="H81" s="237"/>
      <c r="I81" s="237"/>
      <c r="J81" s="243"/>
      <c r="K81" s="238" t="s">
        <v>145</v>
      </c>
      <c r="L81" s="237"/>
      <c r="M81" s="237"/>
      <c r="N81" s="237"/>
      <c r="O81" s="238" t="s">
        <v>145</v>
      </c>
      <c r="P81" s="237"/>
      <c r="Q81" s="237"/>
      <c r="R81" s="237"/>
      <c r="S81" s="238" t="s">
        <v>145</v>
      </c>
      <c r="T81" s="237"/>
      <c r="U81" s="237"/>
      <c r="V81" s="237"/>
      <c r="W81" s="238" t="s">
        <v>145</v>
      </c>
      <c r="X81" s="237"/>
    </row>
    <row r="82" spans="5:25" ht="13.5">
      <c r="E82" s="237"/>
      <c r="F82" s="237"/>
      <c r="G82" s="257">
        <f>F75+H80</f>
        <v>23092.81002012271</v>
      </c>
      <c r="H82" s="258"/>
      <c r="I82" s="258"/>
      <c r="J82" s="258"/>
      <c r="K82" s="257">
        <f>J75+L80</f>
        <v>53426.86965335277</v>
      </c>
      <c r="L82" s="258"/>
      <c r="M82" s="258"/>
      <c r="N82" s="258"/>
      <c r="O82" s="257">
        <f>N75+P80</f>
        <v>26953.032326524513</v>
      </c>
      <c r="P82" s="258"/>
      <c r="Q82" s="258"/>
      <c r="R82" s="258"/>
      <c r="S82" s="257">
        <f>R75+T80</f>
        <v>0</v>
      </c>
      <c r="T82" s="258"/>
      <c r="U82" s="258"/>
      <c r="V82" s="258"/>
      <c r="W82" s="257">
        <f>V75+X80</f>
        <v>0</v>
      </c>
      <c r="X82" s="258"/>
      <c r="Y82" s="236"/>
    </row>
  </sheetData>
  <mergeCells count="47">
    <mergeCell ref="R20:T20"/>
    <mergeCell ref="V20:X20"/>
    <mergeCell ref="F20:H20"/>
    <mergeCell ref="F25:H25"/>
    <mergeCell ref="J25:L25"/>
    <mergeCell ref="N25:P25"/>
    <mergeCell ref="V25:X25"/>
    <mergeCell ref="J20:L20"/>
    <mergeCell ref="N20:P20"/>
    <mergeCell ref="R25:T25"/>
    <mergeCell ref="V30:X30"/>
    <mergeCell ref="F35:H35"/>
    <mergeCell ref="J35:L35"/>
    <mergeCell ref="N35:P35"/>
    <mergeCell ref="R35:T35"/>
    <mergeCell ref="V35:X35"/>
    <mergeCell ref="F30:H30"/>
    <mergeCell ref="J30:L30"/>
    <mergeCell ref="N30:P30"/>
    <mergeCell ref="R30:T30"/>
    <mergeCell ref="F40:H40"/>
    <mergeCell ref="J40:L40"/>
    <mergeCell ref="N40:P40"/>
    <mergeCell ref="R40:T40"/>
    <mergeCell ref="F45:H45"/>
    <mergeCell ref="J45:L45"/>
    <mergeCell ref="N45:P45"/>
    <mergeCell ref="R45:T45"/>
    <mergeCell ref="R50:T50"/>
    <mergeCell ref="P54:R54"/>
    <mergeCell ref="T54:V54"/>
    <mergeCell ref="V40:X40"/>
    <mergeCell ref="V45:X45"/>
    <mergeCell ref="L54:N54"/>
    <mergeCell ref="F50:H50"/>
    <mergeCell ref="J50:L50"/>
    <mergeCell ref="N50:P50"/>
    <mergeCell ref="D12:E12"/>
    <mergeCell ref="C56:F56"/>
    <mergeCell ref="C57:F57"/>
    <mergeCell ref="A1:Y1"/>
    <mergeCell ref="H12:J12"/>
    <mergeCell ref="L12:N12"/>
    <mergeCell ref="P12:R12"/>
    <mergeCell ref="T12:V12"/>
    <mergeCell ref="V50:X50"/>
    <mergeCell ref="H54:J54"/>
  </mergeCells>
  <printOptions/>
  <pageMargins left="0.75" right="0.75" top="1" bottom="1" header="0" footer="0"/>
  <pageSetup horizontalDpi="600" verticalDpi="600" orientation="portrait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82"/>
  <sheetViews>
    <sheetView showGridLines="0" view="pageBreakPreview" zoomScaleSheetLayoutView="100" workbookViewId="0" topLeftCell="H60">
      <selection activeCell="L53" sqref="L53"/>
    </sheetView>
  </sheetViews>
  <sheetFormatPr defaultColWidth="9.140625" defaultRowHeight="12.75"/>
  <cols>
    <col min="1" max="1" width="12.140625" style="0" customWidth="1"/>
    <col min="2" max="2" width="5.421875" style="0" bestFit="1" customWidth="1"/>
    <col min="3" max="3" width="12.140625" style="0" customWidth="1"/>
    <col min="4" max="4" width="7.00390625" style="19" bestFit="1" customWidth="1"/>
    <col min="5" max="5" width="0.9921875" style="0" customWidth="1"/>
    <col min="6" max="6" width="8.7109375" style="0" customWidth="1"/>
    <col min="7" max="8" width="6.7109375" style="0" customWidth="1"/>
    <col min="9" max="9" width="0.85546875" style="0" customWidth="1"/>
    <col min="10" max="12" width="6.7109375" style="0" customWidth="1"/>
    <col min="13" max="13" width="0.85546875" style="0" customWidth="1"/>
    <col min="14" max="16" width="6.7109375" style="0" customWidth="1"/>
    <col min="17" max="17" width="0.85546875" style="0" customWidth="1"/>
    <col min="18" max="20" width="6.7109375" style="0" customWidth="1"/>
    <col min="21" max="21" width="0.85546875" style="0" customWidth="1"/>
    <col min="22" max="23" width="6.7109375" style="0" customWidth="1"/>
    <col min="24" max="24" width="8.7109375" style="0" customWidth="1"/>
    <col min="25" max="16384" width="11.421875" style="0" customWidth="1"/>
  </cols>
  <sheetData>
    <row r="1" spans="1:25" ht="14.25">
      <c r="A1" s="504" t="s">
        <v>181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</row>
    <row r="2" spans="1:6" ht="12.75">
      <c r="A2" s="114" t="s">
        <v>161</v>
      </c>
      <c r="B2" s="1"/>
      <c r="C2" s="1"/>
      <c r="D2" s="4"/>
      <c r="E2" s="1"/>
      <c r="F2" s="1"/>
    </row>
    <row r="3" spans="1:6" ht="13.5" thickBot="1">
      <c r="A3" s="188"/>
      <c r="B3" s="1"/>
      <c r="C3" s="1"/>
      <c r="D3" s="4"/>
      <c r="E3" s="1"/>
      <c r="F3" s="1"/>
    </row>
    <row r="4" spans="1:23" ht="12.75">
      <c r="A4" s="376" t="s">
        <v>122</v>
      </c>
      <c r="B4" s="377">
        <f>MARCO_EQUIVALENTE!BI86</f>
        <v>8056.439999999999</v>
      </c>
      <c r="C4" s="327" t="s">
        <v>14</v>
      </c>
      <c r="D4" s="327" t="s">
        <v>301</v>
      </c>
      <c r="E4" s="83"/>
      <c r="F4" s="83"/>
      <c r="G4" s="212"/>
      <c r="I4" s="1"/>
      <c r="K4" s="212"/>
      <c r="O4" s="212"/>
      <c r="S4" s="212"/>
      <c r="W4" s="212"/>
    </row>
    <row r="5" spans="1:23" ht="12.75">
      <c r="A5" s="188"/>
      <c r="B5" s="1"/>
      <c r="C5" s="1"/>
      <c r="D5" s="4"/>
      <c r="E5" s="1"/>
      <c r="F5" s="1"/>
      <c r="G5" s="213"/>
      <c r="I5" s="1"/>
      <c r="K5" s="213"/>
      <c r="O5" s="213"/>
      <c r="S5" s="213"/>
      <c r="W5" s="213"/>
    </row>
    <row r="6" spans="2:23" ht="13.5" thickBot="1">
      <c r="B6" s="1"/>
      <c r="C6" s="1"/>
      <c r="D6" s="4"/>
      <c r="E6" s="1"/>
      <c r="F6" s="1"/>
      <c r="G6" s="213"/>
      <c r="I6" s="1"/>
      <c r="K6" s="213"/>
      <c r="O6" s="213"/>
      <c r="S6" s="213"/>
      <c r="W6" s="213"/>
    </row>
    <row r="7" spans="2:24" ht="5.25" customHeight="1" thickBot="1">
      <c r="B7" s="1"/>
      <c r="C7" s="1"/>
      <c r="D7" s="4"/>
      <c r="E7" s="1"/>
      <c r="F7" s="215"/>
      <c r="G7" s="216"/>
      <c r="H7" s="215"/>
      <c r="I7" s="1"/>
      <c r="J7" s="215"/>
      <c r="K7" s="213"/>
      <c r="L7" s="215"/>
      <c r="N7" s="215"/>
      <c r="O7" s="213"/>
      <c r="P7" s="215"/>
      <c r="R7" s="215"/>
      <c r="S7" s="213"/>
      <c r="T7" s="215"/>
      <c r="V7" s="215"/>
      <c r="W7" s="213"/>
      <c r="X7" s="211"/>
    </row>
    <row r="8" spans="1:23" ht="12.75">
      <c r="A8" s="190"/>
      <c r="B8" s="1"/>
      <c r="C8" s="209"/>
      <c r="D8" s="4"/>
      <c r="E8" s="1"/>
      <c r="F8" s="1"/>
      <c r="G8" s="213"/>
      <c r="I8" s="1"/>
      <c r="K8" s="213"/>
      <c r="O8" s="213"/>
      <c r="S8" s="213"/>
      <c r="W8" s="213"/>
    </row>
    <row r="9" spans="1:23" ht="12.75">
      <c r="A9" s="190"/>
      <c r="B9" s="1"/>
      <c r="C9" s="209"/>
      <c r="D9" s="4"/>
      <c r="E9" s="1"/>
      <c r="F9" s="1"/>
      <c r="G9" s="213"/>
      <c r="I9" s="1"/>
      <c r="K9" s="213"/>
      <c r="O9" s="213"/>
      <c r="S9" s="213"/>
      <c r="W9" s="213"/>
    </row>
    <row r="10" spans="1:23" ht="13.5" thickBot="1">
      <c r="A10" s="190"/>
      <c r="B10" s="1"/>
      <c r="C10" s="209"/>
      <c r="D10" s="4"/>
      <c r="E10" s="1"/>
      <c r="F10" s="1"/>
      <c r="G10" s="214"/>
      <c r="I10" s="1"/>
      <c r="K10" s="214"/>
      <c r="O10" s="214"/>
      <c r="S10" s="214"/>
      <c r="W10" s="214"/>
    </row>
    <row r="11" spans="1:23" ht="12.75">
      <c r="A11" s="190"/>
      <c r="B11" s="1"/>
      <c r="C11" s="209"/>
      <c r="D11" s="4"/>
      <c r="E11" s="1"/>
      <c r="F11" s="1"/>
      <c r="G11" s="1"/>
      <c r="I11" s="1"/>
      <c r="K11" s="1"/>
      <c r="O11" s="1"/>
      <c r="S11" s="1"/>
      <c r="W11" s="1"/>
    </row>
    <row r="12" spans="1:24" ht="12.75">
      <c r="A12" s="190"/>
      <c r="B12" s="1"/>
      <c r="C12" s="209"/>
      <c r="D12" s="502" t="s">
        <v>296</v>
      </c>
      <c r="E12" s="503"/>
      <c r="F12" s="262">
        <f>'CROSS_1.4cm+1.7cv'!F12</f>
        <v>1</v>
      </c>
      <c r="G12" s="262">
        <f>'CROSS_1.4cm+1.7cv'!G12</f>
        <v>0.5</v>
      </c>
      <c r="H12" s="510">
        <f>'CROSS_1.4cm+1.7cv'!H12:J12</f>
        <v>5.55</v>
      </c>
      <c r="I12" s="511"/>
      <c r="J12" s="512"/>
      <c r="K12" s="263">
        <f>'CROSS_1.4cm+1.7cv'!K12</f>
        <v>0.5</v>
      </c>
      <c r="L12" s="509">
        <f>'CROSS_1.4cm+1.7cv'!L12:N12</f>
        <v>8.22</v>
      </c>
      <c r="M12" s="509"/>
      <c r="N12" s="509"/>
      <c r="O12" s="263">
        <f>'CROSS_1.4cm+1.7cv'!O12</f>
        <v>0.5</v>
      </c>
      <c r="P12" s="509">
        <f>'CROSS_1.4cm+1.7cv'!P12:R12</f>
        <v>0</v>
      </c>
      <c r="Q12" s="509"/>
      <c r="R12" s="509"/>
      <c r="S12" s="263">
        <f>'CROSS_1.4cm+1.7cv'!S12</f>
        <v>0</v>
      </c>
      <c r="T12" s="509">
        <f>'CROSS_1.4cm+1.7cv'!T12:V12</f>
        <v>0</v>
      </c>
      <c r="U12" s="509"/>
      <c r="V12" s="509"/>
      <c r="W12" s="263">
        <f>'CROSS_1.4cm+1.7cv'!W12</f>
        <v>0</v>
      </c>
      <c r="X12" s="262">
        <f>'CROSS_1.4cm+1.7cv'!X12</f>
        <v>0</v>
      </c>
    </row>
    <row r="13" spans="1:24" ht="12.75">
      <c r="A13" s="190"/>
      <c r="B13" s="1"/>
      <c r="C13" s="209"/>
      <c r="D13" s="4"/>
      <c r="E13" s="75"/>
      <c r="F13" s="23"/>
      <c r="G13" s="22"/>
      <c r="H13" s="39"/>
      <c r="I13" s="39"/>
      <c r="J13" s="39"/>
      <c r="K13" s="217"/>
      <c r="L13" s="39"/>
      <c r="M13" s="39"/>
      <c r="N13" s="39"/>
      <c r="O13" s="217"/>
      <c r="P13" s="39"/>
      <c r="Q13" s="39"/>
      <c r="R13" s="39"/>
      <c r="S13" s="217"/>
      <c r="T13" s="39"/>
      <c r="U13" s="39"/>
      <c r="V13" s="39"/>
      <c r="W13" s="22"/>
      <c r="X13" s="39"/>
    </row>
    <row r="14" spans="1:23" ht="12.75">
      <c r="A14" s="190"/>
      <c r="B14" s="1"/>
      <c r="C14" s="209"/>
      <c r="D14" s="4"/>
      <c r="E14" s="1"/>
      <c r="F14" s="1"/>
      <c r="G14" s="37">
        <f>G16+G17</f>
        <v>1.3157894736842106</v>
      </c>
      <c r="K14" s="56">
        <f>K16+K17</f>
        <v>1.3157894736842106</v>
      </c>
      <c r="O14" s="56">
        <f>O16+O17</f>
        <v>1.3157894736842106</v>
      </c>
      <c r="S14" s="56">
        <f>S16+S17</f>
        <v>1.3157894736842106</v>
      </c>
      <c r="W14" s="56">
        <f>W16+W17</f>
        <v>1.3157894736842106</v>
      </c>
    </row>
    <row r="15" spans="2:24" ht="19.5">
      <c r="B15" s="1"/>
      <c r="C15" s="1"/>
      <c r="D15" s="65"/>
      <c r="E15" s="15"/>
      <c r="F15" s="35" t="s">
        <v>173</v>
      </c>
      <c r="G15" s="219" t="s">
        <v>4</v>
      </c>
      <c r="H15" s="220" t="s">
        <v>167</v>
      </c>
      <c r="I15" s="15"/>
      <c r="J15" s="220" t="s">
        <v>172</v>
      </c>
      <c r="K15" s="219" t="s">
        <v>6</v>
      </c>
      <c r="L15" s="220" t="s">
        <v>167</v>
      </c>
      <c r="M15" s="15"/>
      <c r="N15" s="220" t="s">
        <v>172</v>
      </c>
      <c r="O15" s="219" t="s">
        <v>70</v>
      </c>
      <c r="P15" s="220" t="s">
        <v>167</v>
      </c>
      <c r="Q15" s="15"/>
      <c r="R15" s="220" t="s">
        <v>172</v>
      </c>
      <c r="S15" s="219" t="s">
        <v>71</v>
      </c>
      <c r="T15" s="220" t="s">
        <v>167</v>
      </c>
      <c r="U15" s="15"/>
      <c r="V15" s="220" t="s">
        <v>172</v>
      </c>
      <c r="W15" s="219" t="s">
        <v>72</v>
      </c>
      <c r="X15" s="35" t="s">
        <v>173</v>
      </c>
    </row>
    <row r="16" spans="1:25" ht="14.25">
      <c r="A16" s="19" t="s">
        <v>162</v>
      </c>
      <c r="B16" s="210">
        <f>MARCO_EQUIVALENTE!BI18</f>
        <v>0.6578947368421053</v>
      </c>
      <c r="C16" s="1" t="s">
        <v>168</v>
      </c>
      <c r="D16" s="221" t="s">
        <v>175</v>
      </c>
      <c r="E16" s="15"/>
      <c r="F16" s="222">
        <v>0</v>
      </c>
      <c r="G16" s="222">
        <f>B16</f>
        <v>0.6578947368421053</v>
      </c>
      <c r="H16" s="16"/>
      <c r="I16" s="16"/>
      <c r="J16" s="16"/>
      <c r="K16" s="222">
        <f>B16</f>
        <v>0.6578947368421053</v>
      </c>
      <c r="L16" s="16"/>
      <c r="M16" s="16"/>
      <c r="N16" s="16"/>
      <c r="O16" s="222">
        <f>B16</f>
        <v>0.6578947368421053</v>
      </c>
      <c r="P16" s="16"/>
      <c r="Q16" s="16"/>
      <c r="R16" s="16"/>
      <c r="S16" s="222">
        <f>B16</f>
        <v>0.6578947368421053</v>
      </c>
      <c r="T16" s="16"/>
      <c r="U16" s="16"/>
      <c r="V16" s="16"/>
      <c r="W16" s="222">
        <f>B16</f>
        <v>0.6578947368421053</v>
      </c>
      <c r="X16" s="222">
        <v>0</v>
      </c>
      <c r="Y16" s="2"/>
    </row>
    <row r="17" spans="1:25" ht="14.25">
      <c r="A17" s="19" t="s">
        <v>163</v>
      </c>
      <c r="B17" s="37">
        <f>MARCO_EQUIVALENTE!BI6</f>
        <v>0.6578947368421053</v>
      </c>
      <c r="C17" t="s">
        <v>169</v>
      </c>
      <c r="D17" s="221" t="s">
        <v>174</v>
      </c>
      <c r="E17" s="15"/>
      <c r="F17" s="222">
        <v>0</v>
      </c>
      <c r="G17" s="222">
        <f>B17</f>
        <v>0.6578947368421053</v>
      </c>
      <c r="H17" s="222">
        <f>IF(H12&gt;0,B18,0)</f>
        <v>0.5895589161906646</v>
      </c>
      <c r="I17" s="16"/>
      <c r="J17" s="222">
        <f>IF(H12&gt;0,B18,0)</f>
        <v>0.5895589161906646</v>
      </c>
      <c r="K17" s="222">
        <f>B17</f>
        <v>0.6578947368421053</v>
      </c>
      <c r="L17" s="222">
        <f>IF(L12&gt;0,B18,0)</f>
        <v>0.5895589161906646</v>
      </c>
      <c r="M17" s="16"/>
      <c r="N17" s="222">
        <f>IF(L12&gt;0,B18,0)</f>
        <v>0.5895589161906646</v>
      </c>
      <c r="O17" s="222">
        <f>B17</f>
        <v>0.6578947368421053</v>
      </c>
      <c r="P17" s="222">
        <f>IF(P12&gt;0,B18,0)</f>
        <v>0</v>
      </c>
      <c r="Q17" s="16"/>
      <c r="R17" s="222">
        <f>IF(P12&gt;0,B18,0)</f>
        <v>0</v>
      </c>
      <c r="S17" s="222">
        <f>B17</f>
        <v>0.6578947368421053</v>
      </c>
      <c r="T17" s="222">
        <f>IF(T12&gt;0,B18,0)</f>
        <v>0</v>
      </c>
      <c r="U17" s="16"/>
      <c r="V17" s="222">
        <f>IF(T12&gt;0,B18,0)</f>
        <v>0</v>
      </c>
      <c r="W17" s="222">
        <f>B17</f>
        <v>0.6578947368421053</v>
      </c>
      <c r="X17" s="222">
        <v>0</v>
      </c>
      <c r="Y17" s="2"/>
    </row>
    <row r="18" spans="1:25" ht="14.25">
      <c r="A18" s="19" t="s">
        <v>164</v>
      </c>
      <c r="B18" s="37">
        <f>MARCO_EQUIVALENTE!BI77</f>
        <v>0.5895589161906646</v>
      </c>
      <c r="D18" s="221" t="s">
        <v>170</v>
      </c>
      <c r="E18" s="15"/>
      <c r="F18" s="222">
        <v>0</v>
      </c>
      <c r="G18" s="222">
        <f>G14/(G14+H17)</f>
        <v>0.6905768418397326</v>
      </c>
      <c r="H18" s="222">
        <f>H17/(G14+H17)</f>
        <v>0.30942315816026755</v>
      </c>
      <c r="I18" s="222"/>
      <c r="J18" s="222">
        <f>J17/(J17+K14+L17)</f>
        <v>0.23630493796597077</v>
      </c>
      <c r="K18" s="222">
        <f>K14/(J17+K14+L17)</f>
        <v>0.5273901240680585</v>
      </c>
      <c r="L18" s="222">
        <f>L17/(L17+K14+J17)</f>
        <v>0.23630493796597077</v>
      </c>
      <c r="M18" s="222"/>
      <c r="N18" s="222">
        <f>N17/(N17+O14+P17)</f>
        <v>0.30942315816026755</v>
      </c>
      <c r="O18" s="222">
        <f>O14/(N17+O14+P17)</f>
        <v>0.6905768418397326</v>
      </c>
      <c r="P18" s="222">
        <f>P17/(P17+O14+N17)</f>
        <v>0</v>
      </c>
      <c r="Q18" s="222"/>
      <c r="R18" s="222">
        <f>R17/(R17+S14+T17)</f>
        <v>0</v>
      </c>
      <c r="S18" s="222">
        <f>S14/(R17+S14+T17)</f>
        <v>1</v>
      </c>
      <c r="T18" s="222">
        <f>IF(T12&gt;0,T17/(T17+S14+R17),0)</f>
        <v>0</v>
      </c>
      <c r="U18" s="222"/>
      <c r="V18" s="222">
        <f>IF(T12&gt;0,V17/(V17+W14),0)</f>
        <v>0</v>
      </c>
      <c r="W18" s="222">
        <f>W14/(W14+V17)</f>
        <v>1</v>
      </c>
      <c r="X18" s="222">
        <v>0</v>
      </c>
      <c r="Y18" s="2"/>
    </row>
    <row r="19" spans="1:25" ht="14.25">
      <c r="A19" s="19" t="s">
        <v>165</v>
      </c>
      <c r="B19" s="37">
        <f>MARCO_EQUIVALENTE!BH80</f>
        <v>0.5360713687048736</v>
      </c>
      <c r="D19" s="221" t="s">
        <v>171</v>
      </c>
      <c r="E19" s="15"/>
      <c r="F19" s="66">
        <f>-B4*F12^2/2</f>
        <v>-4028.2199999999993</v>
      </c>
      <c r="G19" s="15"/>
      <c r="H19" s="16">
        <f>B4*H12^2/B20</f>
        <v>20679.874424999995</v>
      </c>
      <c r="I19" s="16"/>
      <c r="J19" s="16">
        <f>-B4*H12^2/B20</f>
        <v>-20679.874424999995</v>
      </c>
      <c r="K19" s="16">
        <v>0</v>
      </c>
      <c r="L19" s="16">
        <f>B4*L12^2/B20</f>
        <v>45363.39670799999</v>
      </c>
      <c r="M19" s="16"/>
      <c r="N19" s="16">
        <f>-B4*L12^2/B20</f>
        <v>-45363.39670799999</v>
      </c>
      <c r="O19" s="16"/>
      <c r="P19" s="16">
        <f>B4*P12^2/B20</f>
        <v>0</v>
      </c>
      <c r="Q19" s="16"/>
      <c r="R19" s="16">
        <f>-B4*P12^2/B20</f>
        <v>0</v>
      </c>
      <c r="S19" s="16"/>
      <c r="T19" s="16">
        <f>B4*T12^2/B20</f>
        <v>0</v>
      </c>
      <c r="U19" s="16"/>
      <c r="V19" s="16">
        <f>-B4*T12^2/B20</f>
        <v>0</v>
      </c>
      <c r="W19" s="16"/>
      <c r="X19" s="66">
        <f>B4*X12^2/2</f>
        <v>0</v>
      </c>
      <c r="Y19" s="2"/>
    </row>
    <row r="20" spans="1:25" ht="14.25">
      <c r="A20" s="19" t="s">
        <v>166</v>
      </c>
      <c r="B20" s="53">
        <f>IF(MARCO_EQUIVALENTE!R94&lt;12,MARCO_EQUIVALENTE!R94,12)</f>
        <v>12</v>
      </c>
      <c r="D20" s="221"/>
      <c r="E20" s="15"/>
      <c r="F20" s="411">
        <f>(F19+H19)*-1</f>
        <v>-16651.654424999993</v>
      </c>
      <c r="G20" s="411"/>
      <c r="H20" s="411"/>
      <c r="I20" s="66"/>
      <c r="J20" s="411">
        <f>(J19+K19+L19)*-1</f>
        <v>-24683.522283</v>
      </c>
      <c r="K20" s="411"/>
      <c r="L20" s="411"/>
      <c r="M20" s="66"/>
      <c r="N20" s="411">
        <f>(N19+O19+P19)*-1</f>
        <v>45363.39670799999</v>
      </c>
      <c r="O20" s="411"/>
      <c r="P20" s="411"/>
      <c r="Q20" s="66"/>
      <c r="R20" s="411">
        <f>(R19+S19+T19)*-1</f>
        <v>0</v>
      </c>
      <c r="S20" s="411"/>
      <c r="T20" s="411"/>
      <c r="U20" s="66"/>
      <c r="V20" s="411">
        <f>(V19+X19)*-1</f>
        <v>0</v>
      </c>
      <c r="W20" s="411"/>
      <c r="X20" s="411"/>
      <c r="Y20" s="2"/>
    </row>
    <row r="21" spans="4:25" ht="6" customHeight="1">
      <c r="D21" s="221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2"/>
    </row>
    <row r="22" spans="4:25" ht="14.25">
      <c r="D22" s="221" t="s">
        <v>6</v>
      </c>
      <c r="E22" s="15"/>
      <c r="F22" s="66">
        <v>0</v>
      </c>
      <c r="G22" s="66">
        <f>G18*F20</f>
        <v>-11499.246924223104</v>
      </c>
      <c r="H22" s="66">
        <f>H18*F20</f>
        <v>-5152.407500776892</v>
      </c>
      <c r="I22" s="66"/>
      <c r="J22" s="66">
        <f>J18*J20</f>
        <v>-5832.838201865972</v>
      </c>
      <c r="K22" s="66">
        <f>K18*J20</f>
        <v>-13017.845879268056</v>
      </c>
      <c r="L22" s="66">
        <f>L18*J20</f>
        <v>-5832.838201865972</v>
      </c>
      <c r="M22" s="66"/>
      <c r="N22" s="66">
        <f>N18*N20</f>
        <v>14036.485474266443</v>
      </c>
      <c r="O22" s="66">
        <f>O18*N20</f>
        <v>31326.911233733557</v>
      </c>
      <c r="P22" s="66">
        <f>P18*N20</f>
        <v>0</v>
      </c>
      <c r="Q22" s="66"/>
      <c r="R22" s="66">
        <f>R18*R20</f>
        <v>0</v>
      </c>
      <c r="S22" s="66">
        <f>S18*R20</f>
        <v>0</v>
      </c>
      <c r="T22" s="66">
        <f>T18*R20</f>
        <v>0</v>
      </c>
      <c r="U22" s="66"/>
      <c r="V22" s="66">
        <f>V18*V20</f>
        <v>0</v>
      </c>
      <c r="W22" s="66">
        <f>W18*V20</f>
        <v>0</v>
      </c>
      <c r="X22" s="66">
        <f>X18*V20</f>
        <v>0</v>
      </c>
      <c r="Y22" s="2"/>
    </row>
    <row r="23" spans="4:25" ht="14.25">
      <c r="D23" s="221" t="s">
        <v>2</v>
      </c>
      <c r="E23" s="15"/>
      <c r="F23" s="66">
        <v>0</v>
      </c>
      <c r="G23" s="66"/>
      <c r="H23" s="66">
        <f>J22*$B$19</f>
        <v>-3126.8175583083657</v>
      </c>
      <c r="I23" s="66"/>
      <c r="J23" s="66">
        <f>H22*$B$19</f>
        <v>-2762.058141066726</v>
      </c>
      <c r="K23" s="66"/>
      <c r="L23" s="66">
        <f>N22*$B$19</f>
        <v>7524.557979996089</v>
      </c>
      <c r="M23" s="66"/>
      <c r="N23" s="66">
        <f>L22*$B$19</f>
        <v>-3126.8175583083657</v>
      </c>
      <c r="O23" s="66"/>
      <c r="P23" s="66">
        <f>R22*$B$19</f>
        <v>0</v>
      </c>
      <c r="Q23" s="66"/>
      <c r="R23" s="66">
        <f>P22*$B$19</f>
        <v>0</v>
      </c>
      <c r="S23" s="66"/>
      <c r="T23" s="66">
        <f>V22*$B$19</f>
        <v>0</v>
      </c>
      <c r="U23" s="66"/>
      <c r="V23" s="66">
        <f>T22*$B$19</f>
        <v>0</v>
      </c>
      <c r="W23" s="66"/>
      <c r="X23" s="66">
        <v>0</v>
      </c>
      <c r="Y23" s="2"/>
    </row>
    <row r="24" spans="4:25" ht="6" customHeight="1">
      <c r="D24" s="223"/>
      <c r="E24" s="1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2"/>
    </row>
    <row r="25" spans="4:25" ht="12.75">
      <c r="D25" s="65"/>
      <c r="E25" s="15"/>
      <c r="F25" s="411">
        <f>(F23+H23)*-1</f>
        <v>3126.8175583083657</v>
      </c>
      <c r="G25" s="411"/>
      <c r="H25" s="411"/>
      <c r="I25" s="66"/>
      <c r="J25" s="411">
        <f>(J23+L23)*-1</f>
        <v>-4762.499838929363</v>
      </c>
      <c r="K25" s="411"/>
      <c r="L25" s="411"/>
      <c r="M25" s="66"/>
      <c r="N25" s="411">
        <f>(N23+P23)*-1</f>
        <v>3126.8175583083657</v>
      </c>
      <c r="O25" s="411"/>
      <c r="P25" s="411"/>
      <c r="Q25" s="66"/>
      <c r="R25" s="411">
        <f>(R23+T23)*-1</f>
        <v>0</v>
      </c>
      <c r="S25" s="411"/>
      <c r="T25" s="411"/>
      <c r="U25" s="66"/>
      <c r="V25" s="411">
        <f>(V23+X23)*-1</f>
        <v>0</v>
      </c>
      <c r="W25" s="411"/>
      <c r="X25" s="411"/>
      <c r="Y25" s="2"/>
    </row>
    <row r="26" spans="4:25" ht="6" customHeight="1">
      <c r="D26" s="65"/>
      <c r="E26" s="1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2"/>
    </row>
    <row r="27" spans="4:25" ht="14.25">
      <c r="D27" s="221" t="s">
        <v>6</v>
      </c>
      <c r="E27" s="15"/>
      <c r="F27" s="66">
        <v>0</v>
      </c>
      <c r="G27" s="66"/>
      <c r="H27" s="66">
        <f>F25*$H$18</f>
        <v>967.509763882751</v>
      </c>
      <c r="I27" s="66"/>
      <c r="J27" s="66">
        <f>J25*$J$18</f>
        <v>-1125.402229001149</v>
      </c>
      <c r="K27" s="66">
        <f>J25*$K$18</f>
        <v>-2511.695380927066</v>
      </c>
      <c r="L27" s="66">
        <f>J25*$L$18</f>
        <v>-1125.402229001149</v>
      </c>
      <c r="M27" s="66"/>
      <c r="N27" s="66">
        <f>N25*$N$18</f>
        <v>967.509763882751</v>
      </c>
      <c r="O27" s="66">
        <f>N25*$O$18</f>
        <v>2159.307794425615</v>
      </c>
      <c r="P27" s="66">
        <f>N25*$P$18</f>
        <v>0</v>
      </c>
      <c r="Q27" s="66"/>
      <c r="R27" s="66">
        <f>R25*$R$18</f>
        <v>0</v>
      </c>
      <c r="S27" s="66">
        <f>R25*$S$18</f>
        <v>0</v>
      </c>
      <c r="T27" s="66">
        <f>R25*$T$18</f>
        <v>0</v>
      </c>
      <c r="U27" s="66"/>
      <c r="V27" s="66">
        <f>V25*$V$18</f>
        <v>0</v>
      </c>
      <c r="W27" s="66"/>
      <c r="X27" s="66"/>
      <c r="Y27" s="2"/>
    </row>
    <row r="28" spans="4:25" ht="14.25">
      <c r="D28" s="221" t="s">
        <v>2</v>
      </c>
      <c r="E28" s="15"/>
      <c r="F28" s="66">
        <v>0</v>
      </c>
      <c r="G28" s="66"/>
      <c r="H28" s="66">
        <f>J27*$B$19</f>
        <v>-603.2959132441615</v>
      </c>
      <c r="I28" s="66"/>
      <c r="J28" s="66">
        <f>H27*$B$19</f>
        <v>518.6542833599555</v>
      </c>
      <c r="K28" s="66"/>
      <c r="L28" s="66">
        <f>N27*$B$19</f>
        <v>518.6542833599555</v>
      </c>
      <c r="M28" s="66"/>
      <c r="N28" s="66">
        <f>L27*$B$19</f>
        <v>-603.2959132441615</v>
      </c>
      <c r="O28" s="66"/>
      <c r="P28" s="66">
        <f>R27*$B$19</f>
        <v>0</v>
      </c>
      <c r="Q28" s="66"/>
      <c r="R28" s="66">
        <f>P27*$B$19</f>
        <v>0</v>
      </c>
      <c r="S28" s="66"/>
      <c r="T28" s="66">
        <f>V27*$B$19</f>
        <v>0</v>
      </c>
      <c r="U28" s="66"/>
      <c r="V28" s="66">
        <f>T27*$B$19</f>
        <v>0</v>
      </c>
      <c r="W28" s="66"/>
      <c r="X28" s="66">
        <v>0</v>
      </c>
      <c r="Y28" s="2"/>
    </row>
    <row r="29" spans="4:25" ht="6" customHeight="1">
      <c r="D29" s="223"/>
      <c r="E29" s="15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2"/>
    </row>
    <row r="30" spans="4:25" ht="12.75">
      <c r="D30" s="223"/>
      <c r="E30" s="15"/>
      <c r="F30" s="411">
        <f>(F28+H28)*-1</f>
        <v>603.2959132441615</v>
      </c>
      <c r="G30" s="411"/>
      <c r="H30" s="411"/>
      <c r="I30" s="66"/>
      <c r="J30" s="411">
        <f>(J28+L28)*-1</f>
        <v>-1037.308566719911</v>
      </c>
      <c r="K30" s="411"/>
      <c r="L30" s="411"/>
      <c r="M30" s="66"/>
      <c r="N30" s="411">
        <f>(N28+P28)*-1</f>
        <v>603.2959132441615</v>
      </c>
      <c r="O30" s="411"/>
      <c r="P30" s="411"/>
      <c r="Q30" s="66"/>
      <c r="R30" s="411">
        <f>(R28+T28)*-1</f>
        <v>0</v>
      </c>
      <c r="S30" s="411"/>
      <c r="T30" s="411"/>
      <c r="U30" s="66"/>
      <c r="V30" s="411">
        <f>(V28+X28)*-1</f>
        <v>0</v>
      </c>
      <c r="W30" s="411"/>
      <c r="X30" s="411"/>
      <c r="Y30" s="2"/>
    </row>
    <row r="31" spans="4:25" ht="6" customHeight="1">
      <c r="D31" s="223"/>
      <c r="E31" s="1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2"/>
    </row>
    <row r="32" spans="4:25" ht="14.25">
      <c r="D32" s="221" t="s">
        <v>6</v>
      </c>
      <c r="E32" s="15"/>
      <c r="F32" s="66">
        <v>0</v>
      </c>
      <c r="G32" s="66"/>
      <c r="H32" s="66">
        <f>F30*$H$18</f>
        <v>186.67372678119125</v>
      </c>
      <c r="I32" s="66"/>
      <c r="J32" s="66">
        <f>J30*$J$18</f>
        <v>-245.1211365103186</v>
      </c>
      <c r="K32" s="66">
        <f>J30*$K$18</f>
        <v>-547.0662936992737</v>
      </c>
      <c r="L32" s="66">
        <f>J30*$L$18</f>
        <v>-245.1211365103186</v>
      </c>
      <c r="M32" s="66"/>
      <c r="N32" s="66">
        <f>N30*$N$18</f>
        <v>186.67372678119125</v>
      </c>
      <c r="O32" s="66">
        <f>N30*$O$18</f>
        <v>416.6221864629703</v>
      </c>
      <c r="P32" s="66">
        <f>N30*$P$18</f>
        <v>0</v>
      </c>
      <c r="Q32" s="66"/>
      <c r="R32" s="66">
        <f>R30*$R$18</f>
        <v>0</v>
      </c>
      <c r="S32" s="66">
        <f>R30*$S$18</f>
        <v>0</v>
      </c>
      <c r="T32" s="66">
        <f>R30*$T$18</f>
        <v>0</v>
      </c>
      <c r="U32" s="66"/>
      <c r="V32" s="66">
        <f>V30*$V$18</f>
        <v>0</v>
      </c>
      <c r="W32" s="66"/>
      <c r="X32" s="66"/>
      <c r="Y32" s="2"/>
    </row>
    <row r="33" spans="4:25" ht="14.25">
      <c r="D33" s="221" t="s">
        <v>2</v>
      </c>
      <c r="E33" s="15"/>
      <c r="F33" s="66">
        <v>0</v>
      </c>
      <c r="G33" s="66"/>
      <c r="H33" s="66">
        <f>J32*$B$19</f>
        <v>-131.40242314758066</v>
      </c>
      <c r="I33" s="66"/>
      <c r="J33" s="66">
        <f>H32*$B$19</f>
        <v>100.07044021683281</v>
      </c>
      <c r="K33" s="66"/>
      <c r="L33" s="66">
        <f>N32*$B$19</f>
        <v>100.07044021683281</v>
      </c>
      <c r="M33" s="66"/>
      <c r="N33" s="66">
        <f>L32*$B$19</f>
        <v>-131.40242314758066</v>
      </c>
      <c r="O33" s="66"/>
      <c r="P33" s="66">
        <f>R32*$B$19</f>
        <v>0</v>
      </c>
      <c r="Q33" s="66"/>
      <c r="R33" s="66">
        <f>P32*$B$19</f>
        <v>0</v>
      </c>
      <c r="S33" s="66"/>
      <c r="T33" s="66">
        <f>V32*$B$19</f>
        <v>0</v>
      </c>
      <c r="U33" s="66"/>
      <c r="V33" s="66">
        <f>T32*$B$19</f>
        <v>0</v>
      </c>
      <c r="W33" s="66"/>
      <c r="X33" s="66">
        <v>0</v>
      </c>
      <c r="Y33" s="2"/>
    </row>
    <row r="34" spans="4:25" ht="6" customHeight="1">
      <c r="D34" s="223"/>
      <c r="E34" s="15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2"/>
    </row>
    <row r="35" spans="4:25" ht="12.75">
      <c r="D35" s="223"/>
      <c r="E35" s="15"/>
      <c r="F35" s="411">
        <f>(F33+H33)*-1</f>
        <v>131.40242314758066</v>
      </c>
      <c r="G35" s="411"/>
      <c r="H35" s="411"/>
      <c r="I35" s="66"/>
      <c r="J35" s="411">
        <f>(J33+L33)*-1</f>
        <v>-200.14088043366561</v>
      </c>
      <c r="K35" s="411"/>
      <c r="L35" s="411"/>
      <c r="M35" s="66"/>
      <c r="N35" s="411">
        <f>(N33+P33)*-1</f>
        <v>131.40242314758066</v>
      </c>
      <c r="O35" s="411"/>
      <c r="P35" s="411"/>
      <c r="Q35" s="66"/>
      <c r="R35" s="411">
        <f>(R33+T33)*-1</f>
        <v>0</v>
      </c>
      <c r="S35" s="411"/>
      <c r="T35" s="411"/>
      <c r="U35" s="66"/>
      <c r="V35" s="411">
        <f>(V33+X33)*-1</f>
        <v>0</v>
      </c>
      <c r="W35" s="411"/>
      <c r="X35" s="411"/>
      <c r="Y35" s="2"/>
    </row>
    <row r="36" spans="4:25" ht="6" customHeight="1">
      <c r="D36" s="223"/>
      <c r="E36" s="1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2"/>
    </row>
    <row r="37" spans="4:25" ht="14.25">
      <c r="D37" s="221" t="s">
        <v>6</v>
      </c>
      <c r="E37" s="15"/>
      <c r="F37" s="66">
        <v>0</v>
      </c>
      <c r="G37" s="66"/>
      <c r="H37" s="66">
        <f>F35*$H$18</f>
        <v>40.658952760236254</v>
      </c>
      <c r="I37" s="66"/>
      <c r="J37" s="66">
        <f>J35*$J$18</f>
        <v>-47.29427833533212</v>
      </c>
      <c r="K37" s="66">
        <f>J35*$K$18</f>
        <v>-105.55232376300137</v>
      </c>
      <c r="L37" s="66">
        <f>J35*$L$18</f>
        <v>-47.29427833533212</v>
      </c>
      <c r="M37" s="66"/>
      <c r="N37" s="66">
        <f>N35*$N$18</f>
        <v>40.658952760236254</v>
      </c>
      <c r="O37" s="66">
        <f>N35*$O$18</f>
        <v>90.74347038734443</v>
      </c>
      <c r="P37" s="66">
        <f>N35*$P$18</f>
        <v>0</v>
      </c>
      <c r="Q37" s="66"/>
      <c r="R37" s="66">
        <f>R35*$R$18</f>
        <v>0</v>
      </c>
      <c r="S37" s="66">
        <f>R35*$S$18</f>
        <v>0</v>
      </c>
      <c r="T37" s="66">
        <f>R35*$T$18</f>
        <v>0</v>
      </c>
      <c r="U37" s="66"/>
      <c r="V37" s="66">
        <f>V35*$V$18</f>
        <v>0</v>
      </c>
      <c r="W37" s="66"/>
      <c r="X37" s="66"/>
      <c r="Y37" s="2"/>
    </row>
    <row r="38" spans="4:25" ht="14.25">
      <c r="D38" s="221" t="s">
        <v>2</v>
      </c>
      <c r="E38" s="15"/>
      <c r="F38" s="66">
        <v>0</v>
      </c>
      <c r="G38" s="66"/>
      <c r="H38" s="66">
        <f>J37*$B$19</f>
        <v>-25.353108519130743</v>
      </c>
      <c r="I38" s="66"/>
      <c r="J38" s="66">
        <f>H37*$B$19</f>
        <v>21.79610045628665</v>
      </c>
      <c r="K38" s="66"/>
      <c r="L38" s="66">
        <f>N37*$B$19</f>
        <v>21.79610045628665</v>
      </c>
      <c r="M38" s="66"/>
      <c r="N38" s="66">
        <f>L37*$B$19</f>
        <v>-25.353108519130743</v>
      </c>
      <c r="O38" s="66"/>
      <c r="P38" s="66">
        <f>R37*$B$19</f>
        <v>0</v>
      </c>
      <c r="Q38" s="66"/>
      <c r="R38" s="66">
        <f>P37*$B$19</f>
        <v>0</v>
      </c>
      <c r="S38" s="66"/>
      <c r="T38" s="66">
        <f>V37*$B$19</f>
        <v>0</v>
      </c>
      <c r="U38" s="66"/>
      <c r="V38" s="66">
        <f>T37*$B$19</f>
        <v>0</v>
      </c>
      <c r="W38" s="66"/>
      <c r="X38" s="66">
        <v>0</v>
      </c>
      <c r="Y38" s="2"/>
    </row>
    <row r="39" spans="4:25" ht="6" customHeight="1">
      <c r="D39" s="65"/>
      <c r="E39" s="15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2"/>
    </row>
    <row r="40" spans="4:25" ht="12.75">
      <c r="D40" s="65"/>
      <c r="E40" s="15"/>
      <c r="F40" s="411">
        <f>(F38+H38)*-1</f>
        <v>25.353108519130743</v>
      </c>
      <c r="G40" s="411"/>
      <c r="H40" s="411"/>
      <c r="I40" s="66"/>
      <c r="J40" s="411">
        <f>(J38+L38)*-1</f>
        <v>-43.5922009125733</v>
      </c>
      <c r="K40" s="411"/>
      <c r="L40" s="411"/>
      <c r="M40" s="66"/>
      <c r="N40" s="411">
        <f>(N38+P38)*-1</f>
        <v>25.353108519130743</v>
      </c>
      <c r="O40" s="411"/>
      <c r="P40" s="411"/>
      <c r="Q40" s="66"/>
      <c r="R40" s="411">
        <f>(R38+T38)*-1</f>
        <v>0</v>
      </c>
      <c r="S40" s="411"/>
      <c r="T40" s="411"/>
      <c r="U40" s="66"/>
      <c r="V40" s="411">
        <f>(V38+X38)*-1</f>
        <v>0</v>
      </c>
      <c r="W40" s="411"/>
      <c r="X40" s="411"/>
      <c r="Y40" s="2"/>
    </row>
    <row r="41" spans="4:25" ht="6" customHeight="1">
      <c r="D41" s="65"/>
      <c r="E41" s="1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2"/>
    </row>
    <row r="42" spans="4:25" ht="14.25">
      <c r="D42" s="221" t="s">
        <v>6</v>
      </c>
      <c r="E42" s="15"/>
      <c r="F42" s="66">
        <v>0</v>
      </c>
      <c r="G42" s="66"/>
      <c r="H42" s="66">
        <f>F40*$H$18</f>
        <v>7.844838907169418</v>
      </c>
      <c r="I42" s="66"/>
      <c r="J42" s="66">
        <f>J40*$J$18</f>
        <v>-10.301052332445767</v>
      </c>
      <c r="K42" s="66">
        <f>J40*$K$18</f>
        <v>-22.990096247681766</v>
      </c>
      <c r="L42" s="66">
        <f>J40*$L$18</f>
        <v>-10.301052332445767</v>
      </c>
      <c r="M42" s="66"/>
      <c r="N42" s="66">
        <f>N40*$N$18</f>
        <v>7.844838907169418</v>
      </c>
      <c r="O42" s="66">
        <f>N40*$O$18</f>
        <v>17.508269611961328</v>
      </c>
      <c r="P42" s="66">
        <f>N40*$P$18</f>
        <v>0</v>
      </c>
      <c r="Q42" s="66"/>
      <c r="R42" s="66">
        <f>R40*$R$18</f>
        <v>0</v>
      </c>
      <c r="S42" s="66">
        <f>R40*$S$18</f>
        <v>0</v>
      </c>
      <c r="T42" s="66">
        <f>R40*$T$18</f>
        <v>0</v>
      </c>
      <c r="U42" s="66"/>
      <c r="V42" s="66">
        <f>V40*$V$18</f>
        <v>0</v>
      </c>
      <c r="W42" s="66"/>
      <c r="X42" s="66"/>
      <c r="Y42" s="2"/>
    </row>
    <row r="43" spans="4:25" ht="14.25">
      <c r="D43" s="221" t="s">
        <v>2</v>
      </c>
      <c r="E43" s="15"/>
      <c r="F43" s="66">
        <v>0</v>
      </c>
      <c r="G43" s="66"/>
      <c r="H43" s="66">
        <f>J42*$B$19</f>
        <v>-5.522099222954733</v>
      </c>
      <c r="I43" s="66"/>
      <c r="J43" s="66">
        <f>H42*$B$19</f>
        <v>4.205393530235555</v>
      </c>
      <c r="K43" s="66"/>
      <c r="L43" s="66">
        <f>N42*$B$19</f>
        <v>4.205393530235555</v>
      </c>
      <c r="M43" s="66"/>
      <c r="N43" s="66">
        <f>L42*$B$19</f>
        <v>-5.522099222954733</v>
      </c>
      <c r="O43" s="66"/>
      <c r="P43" s="66">
        <f>R42*$B$19</f>
        <v>0</v>
      </c>
      <c r="Q43" s="66"/>
      <c r="R43" s="66">
        <f>P42*$B$19</f>
        <v>0</v>
      </c>
      <c r="S43" s="66"/>
      <c r="T43" s="66">
        <f>V42*$B$19</f>
        <v>0</v>
      </c>
      <c r="U43" s="66"/>
      <c r="V43" s="66">
        <f>T42*$B$19</f>
        <v>0</v>
      </c>
      <c r="W43" s="66"/>
      <c r="X43" s="66">
        <v>0</v>
      </c>
      <c r="Y43" s="2"/>
    </row>
    <row r="44" spans="4:25" ht="6" customHeight="1">
      <c r="D44" s="6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2"/>
    </row>
    <row r="45" spans="4:25" ht="12.75">
      <c r="D45" s="65"/>
      <c r="E45" s="15"/>
      <c r="F45" s="411">
        <f>(F43+H43)*-1</f>
        <v>5.522099222954733</v>
      </c>
      <c r="G45" s="411"/>
      <c r="H45" s="411"/>
      <c r="I45" s="66"/>
      <c r="J45" s="411">
        <f>(J43+L43)*-1</f>
        <v>-8.41078706047111</v>
      </c>
      <c r="K45" s="411"/>
      <c r="L45" s="411"/>
      <c r="M45" s="66"/>
      <c r="N45" s="411">
        <f>(N43+P43)*-1</f>
        <v>5.522099222954733</v>
      </c>
      <c r="O45" s="411"/>
      <c r="P45" s="411"/>
      <c r="Q45" s="66"/>
      <c r="R45" s="411">
        <f>(R43+T43)*-1</f>
        <v>0</v>
      </c>
      <c r="S45" s="411"/>
      <c r="T45" s="411"/>
      <c r="U45" s="66"/>
      <c r="V45" s="411">
        <f>(V43+X43)*-1</f>
        <v>0</v>
      </c>
      <c r="W45" s="411"/>
      <c r="X45" s="411"/>
      <c r="Y45" s="2"/>
    </row>
    <row r="46" spans="4:25" ht="6" customHeight="1">
      <c r="D46" s="65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2"/>
    </row>
    <row r="47" spans="4:25" ht="14.25">
      <c r="D47" s="221" t="s">
        <v>6</v>
      </c>
      <c r="E47" s="15"/>
      <c r="F47" s="66">
        <v>0</v>
      </c>
      <c r="G47" s="66"/>
      <c r="H47" s="66">
        <f>F45*$H$18</f>
        <v>1.7086653812410129</v>
      </c>
      <c r="I47" s="66"/>
      <c r="J47" s="66">
        <f>J45*$J$18</f>
        <v>-1.9875105145696152</v>
      </c>
      <c r="K47" s="66">
        <f>J45*$K$18</f>
        <v>-4.43576603133188</v>
      </c>
      <c r="L47" s="66">
        <f>J45*$L$18</f>
        <v>-1.9875105145696152</v>
      </c>
      <c r="M47" s="66"/>
      <c r="N47" s="66">
        <f>N45*$N$18</f>
        <v>1.7086653812410129</v>
      </c>
      <c r="O47" s="66">
        <f>N45*$O$18</f>
        <v>3.8134338417137204</v>
      </c>
      <c r="P47" s="66">
        <f>N45*$P$18</f>
        <v>0</v>
      </c>
      <c r="Q47" s="66"/>
      <c r="R47" s="66">
        <f>R45*$R$18</f>
        <v>0</v>
      </c>
      <c r="S47" s="66">
        <f>R45*$S$18</f>
        <v>0</v>
      </c>
      <c r="T47" s="66">
        <f>R45*$T$18</f>
        <v>0</v>
      </c>
      <c r="U47" s="66"/>
      <c r="V47" s="66">
        <f>V45*$V$18</f>
        <v>0</v>
      </c>
      <c r="W47" s="66"/>
      <c r="X47" s="66"/>
      <c r="Y47" s="2"/>
    </row>
    <row r="48" spans="4:25" ht="14.25">
      <c r="D48" s="221" t="s">
        <v>2</v>
      </c>
      <c r="E48" s="15"/>
      <c r="F48" s="66">
        <v>0</v>
      </c>
      <c r="G48" s="66"/>
      <c r="H48" s="66">
        <f>J47*$B$19</f>
        <v>-1.0654474818606612</v>
      </c>
      <c r="I48" s="66"/>
      <c r="J48" s="66">
        <f>H47*$B$19</f>
        <v>0.9159665895805044</v>
      </c>
      <c r="K48" s="66"/>
      <c r="L48" s="66">
        <f>N47*$B$19</f>
        <v>0.9159665895805044</v>
      </c>
      <c r="M48" s="66"/>
      <c r="N48" s="66">
        <f>L47*$B$19</f>
        <v>-1.0654474818606612</v>
      </c>
      <c r="O48" s="66"/>
      <c r="P48" s="66">
        <f>R47*$B$19</f>
        <v>0</v>
      </c>
      <c r="Q48" s="66"/>
      <c r="R48" s="66">
        <f>P47*$B$19</f>
        <v>0</v>
      </c>
      <c r="S48" s="66"/>
      <c r="T48" s="66">
        <f>V47*$B$19</f>
        <v>0</v>
      </c>
      <c r="U48" s="66"/>
      <c r="V48" s="66">
        <f>T47*$B$19</f>
        <v>0</v>
      </c>
      <c r="W48" s="66"/>
      <c r="X48" s="66">
        <v>0</v>
      </c>
      <c r="Y48" s="2"/>
    </row>
    <row r="49" spans="4:25" ht="6" customHeight="1">
      <c r="D49" s="65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2"/>
    </row>
    <row r="50" spans="4:25" ht="12.75">
      <c r="D50" s="65"/>
      <c r="E50" s="15"/>
      <c r="F50" s="411">
        <f>(F48+H48)*-1</f>
        <v>1.0654474818606612</v>
      </c>
      <c r="G50" s="411"/>
      <c r="H50" s="411"/>
      <c r="I50" s="66"/>
      <c r="J50" s="411">
        <f>(J48+L48)*-1</f>
        <v>-1.8319331791610087</v>
      </c>
      <c r="K50" s="411"/>
      <c r="L50" s="411"/>
      <c r="M50" s="66"/>
      <c r="N50" s="411">
        <f>(N48+P48)*-1</f>
        <v>1.0654474818606612</v>
      </c>
      <c r="O50" s="411"/>
      <c r="P50" s="411"/>
      <c r="Q50" s="66"/>
      <c r="R50" s="411">
        <f>(R48+T48)*-1</f>
        <v>0</v>
      </c>
      <c r="S50" s="411"/>
      <c r="T50" s="411"/>
      <c r="U50" s="66"/>
      <c r="V50" s="411">
        <f>(V48+X48)*-1</f>
        <v>0</v>
      </c>
      <c r="W50" s="411"/>
      <c r="X50" s="411"/>
      <c r="Y50" s="2"/>
    </row>
    <row r="51" spans="4:25" ht="6" customHeight="1">
      <c r="D51" s="65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2"/>
    </row>
    <row r="52" spans="4:25" ht="15" thickBot="1">
      <c r="D52" s="221" t="s">
        <v>6</v>
      </c>
      <c r="E52" s="15"/>
      <c r="F52" s="66">
        <v>0</v>
      </c>
      <c r="G52" s="224"/>
      <c r="H52" s="66">
        <f>F50*$H$18</f>
        <v>0.32967412469123014</v>
      </c>
      <c r="I52" s="66"/>
      <c r="J52" s="66">
        <f>J50*$J$18</f>
        <v>-0.4328948562594458</v>
      </c>
      <c r="K52" s="224">
        <f>J50*$K$18</f>
        <v>-0.9661434666421173</v>
      </c>
      <c r="L52" s="66">
        <f>J50*$L$18</f>
        <v>-0.4328948562594458</v>
      </c>
      <c r="M52" s="66"/>
      <c r="N52" s="66">
        <f>N50*$N$18</f>
        <v>0.32967412469123014</v>
      </c>
      <c r="O52" s="224">
        <f>N50*$O$18</f>
        <v>0.7357733571694312</v>
      </c>
      <c r="P52" s="66">
        <f>N50*$P$18</f>
        <v>0</v>
      </c>
      <c r="Q52" s="66"/>
      <c r="R52" s="66">
        <f>R50*$R$18</f>
        <v>0</v>
      </c>
      <c r="S52" s="224">
        <f>R50*$S$18</f>
        <v>0</v>
      </c>
      <c r="T52" s="66">
        <f>R50*$T$18</f>
        <v>0</v>
      </c>
      <c r="U52" s="66"/>
      <c r="V52" s="66">
        <f>V50*$V$18</f>
        <v>0</v>
      </c>
      <c r="W52" s="224"/>
      <c r="X52" s="66"/>
      <c r="Y52" s="2"/>
    </row>
    <row r="53" spans="3:25" ht="15" thickBot="1">
      <c r="C53" t="s">
        <v>144</v>
      </c>
      <c r="D53" s="221"/>
      <c r="E53" s="15"/>
      <c r="F53" s="225">
        <f aca="true" t="shared" si="0" ref="F53:X53">F19+F22+F23+F27+F28+F32+F33+F37+F38+F42+F43+F47+F48+F52</f>
        <v>-4028.2199999999993</v>
      </c>
      <c r="G53" s="230">
        <f t="shared" si="0"/>
        <v>-11499.246924223104</v>
      </c>
      <c r="H53" s="226">
        <f t="shared" si="0"/>
        <v>12838.735996136325</v>
      </c>
      <c r="I53" s="66">
        <f t="shared" si="0"/>
        <v>0</v>
      </c>
      <c r="J53" s="225">
        <f t="shared" si="0"/>
        <v>-30059.66768532987</v>
      </c>
      <c r="K53" s="230">
        <f t="shared" si="0"/>
        <v>-16210.551883403052</v>
      </c>
      <c r="L53" s="226">
        <f t="shared" si="0"/>
        <v>46270.21956873292</v>
      </c>
      <c r="M53" s="66">
        <f t="shared" si="0"/>
        <v>0</v>
      </c>
      <c r="N53" s="225">
        <f t="shared" si="0"/>
        <v>-34015.64216182032</v>
      </c>
      <c r="O53" s="230">
        <f t="shared" si="0"/>
        <v>34015.64216182034</v>
      </c>
      <c r="P53" s="226">
        <f t="shared" si="0"/>
        <v>0</v>
      </c>
      <c r="Q53" s="66">
        <f t="shared" si="0"/>
        <v>0</v>
      </c>
      <c r="R53" s="225">
        <f t="shared" si="0"/>
        <v>0</v>
      </c>
      <c r="S53" s="230">
        <f t="shared" si="0"/>
        <v>0</v>
      </c>
      <c r="T53" s="226">
        <f t="shared" si="0"/>
        <v>0</v>
      </c>
      <c r="U53" s="66">
        <f t="shared" si="0"/>
        <v>0</v>
      </c>
      <c r="V53" s="225">
        <f t="shared" si="0"/>
        <v>0</v>
      </c>
      <c r="W53" s="230">
        <f t="shared" si="0"/>
        <v>0</v>
      </c>
      <c r="X53" s="226">
        <f t="shared" si="0"/>
        <v>0</v>
      </c>
      <c r="Y53" s="2"/>
    </row>
    <row r="54" spans="3:24" ht="13.5">
      <c r="C54" t="s">
        <v>143</v>
      </c>
      <c r="F54" s="2"/>
      <c r="G54" s="2"/>
      <c r="H54" s="506">
        <f>(-H53+J53)/2+(B4*H12^2/8)</f>
        <v>9570.609796766894</v>
      </c>
      <c r="I54" s="507"/>
      <c r="J54" s="508"/>
      <c r="K54" s="2"/>
      <c r="L54" s="506">
        <f>(-L53+N53)/2+($B$4*L12^2/8)</f>
        <v>27902.164196723374</v>
      </c>
      <c r="M54" s="507"/>
      <c r="N54" s="508"/>
      <c r="O54" s="2"/>
      <c r="P54" s="506">
        <f>(-P53+R53)/2+($B$4*P12^2/8)</f>
        <v>0</v>
      </c>
      <c r="Q54" s="507"/>
      <c r="R54" s="508"/>
      <c r="S54" s="2"/>
      <c r="T54" s="506">
        <f>(-T53+V53)/2+($B$4*T12^2/8)</f>
        <v>0</v>
      </c>
      <c r="U54" s="507"/>
      <c r="V54" s="508"/>
      <c r="W54" s="2"/>
      <c r="X54" s="2"/>
    </row>
    <row r="56" spans="1:24" ht="12.75">
      <c r="A56" s="15" t="s">
        <v>176</v>
      </c>
      <c r="B56" s="232">
        <f>B16/$G$14</f>
        <v>0.5</v>
      </c>
      <c r="C56" s="424" t="s">
        <v>179</v>
      </c>
      <c r="D56" s="425"/>
      <c r="E56" s="425"/>
      <c r="F56" s="426"/>
      <c r="G56" s="30">
        <f>G53*B56</f>
        <v>-5749.623462111552</v>
      </c>
      <c r="H56" s="85"/>
      <c r="I56" s="28"/>
      <c r="J56" s="33"/>
      <c r="K56" s="233">
        <f>K53*B56</f>
        <v>-8105.275941701526</v>
      </c>
      <c r="L56" s="85"/>
      <c r="M56" s="28"/>
      <c r="N56" s="33"/>
      <c r="O56" s="77">
        <f>O53*B56</f>
        <v>17007.82108091017</v>
      </c>
      <c r="P56" s="85"/>
      <c r="Q56" s="28"/>
      <c r="R56" s="33"/>
      <c r="S56" s="77">
        <f>S53*B56</f>
        <v>0</v>
      </c>
      <c r="T56" s="85"/>
      <c r="U56" s="28"/>
      <c r="V56" s="33"/>
      <c r="W56" s="15">
        <f>W53*B56</f>
        <v>0</v>
      </c>
      <c r="X56" s="1"/>
    </row>
    <row r="57" spans="1:24" ht="12.75">
      <c r="A57" s="15" t="s">
        <v>177</v>
      </c>
      <c r="B57" s="232">
        <f>B17/$G$14</f>
        <v>0.5</v>
      </c>
      <c r="C57" s="424" t="s">
        <v>180</v>
      </c>
      <c r="D57" s="425"/>
      <c r="E57" s="425"/>
      <c r="F57" s="426"/>
      <c r="G57" s="30">
        <f>G53*B57</f>
        <v>-5749.623462111552</v>
      </c>
      <c r="H57" s="32"/>
      <c r="I57" s="5"/>
      <c r="J57" s="29"/>
      <c r="K57" s="233">
        <f>K53*B57</f>
        <v>-8105.275941701526</v>
      </c>
      <c r="L57" s="32"/>
      <c r="M57" s="5"/>
      <c r="N57" s="29"/>
      <c r="O57" s="77">
        <f>O53*B57</f>
        <v>17007.82108091017</v>
      </c>
      <c r="P57" s="32"/>
      <c r="Q57" s="5"/>
      <c r="R57" s="29"/>
      <c r="S57" s="77">
        <f>S53*B57</f>
        <v>0</v>
      </c>
      <c r="T57" s="32"/>
      <c r="U57" s="5"/>
      <c r="V57" s="29"/>
      <c r="W57" s="15">
        <f>W53*B57</f>
        <v>0</v>
      </c>
      <c r="X57" s="1"/>
    </row>
    <row r="59" ht="12.75">
      <c r="H59" s="1"/>
    </row>
    <row r="60" spans="4:8" ht="14.25">
      <c r="D60" s="227" t="s">
        <v>178</v>
      </c>
      <c r="G60" s="1"/>
      <c r="H60" s="1"/>
    </row>
    <row r="61" spans="7:8" ht="12.75">
      <c r="G61" s="1"/>
      <c r="H61" s="1"/>
    </row>
    <row r="62" spans="7:23" ht="14.25">
      <c r="G62" s="64" t="s">
        <v>145</v>
      </c>
      <c r="H62" s="1"/>
      <c r="K62" s="64" t="s">
        <v>145</v>
      </c>
      <c r="O62" s="64" t="s">
        <v>145</v>
      </c>
      <c r="S62" s="64" t="s">
        <v>145</v>
      </c>
      <c r="W62" s="64" t="s">
        <v>145</v>
      </c>
    </row>
    <row r="63" spans="5:24" ht="12.75">
      <c r="E63" s="237"/>
      <c r="F63" s="237"/>
      <c r="G63" s="238" t="s">
        <v>145</v>
      </c>
      <c r="H63" s="239"/>
      <c r="I63" s="237"/>
      <c r="J63" s="237"/>
      <c r="K63" s="238" t="s">
        <v>145</v>
      </c>
      <c r="L63" s="237"/>
      <c r="M63" s="237"/>
      <c r="N63" s="237"/>
      <c r="O63" s="238" t="s">
        <v>145</v>
      </c>
      <c r="P63" s="237"/>
      <c r="Q63" s="237"/>
      <c r="R63" s="237"/>
      <c r="S63" s="238" t="s">
        <v>145</v>
      </c>
      <c r="T63" s="237"/>
      <c r="U63" s="237"/>
      <c r="V63" s="237"/>
      <c r="W63" s="238" t="s">
        <v>145</v>
      </c>
      <c r="X63" s="237"/>
    </row>
    <row r="64" spans="5:24" ht="12.75">
      <c r="E64" s="237"/>
      <c r="F64" s="237"/>
      <c r="G64" s="238" t="s">
        <v>145</v>
      </c>
      <c r="H64" s="239"/>
      <c r="I64" s="237"/>
      <c r="J64" s="240">
        <f>H54</f>
        <v>9570.609796766894</v>
      </c>
      <c r="K64" s="238" t="s">
        <v>145</v>
      </c>
      <c r="L64" s="237"/>
      <c r="M64" s="237"/>
      <c r="N64" s="240">
        <f>L54</f>
        <v>27902.164196723374</v>
      </c>
      <c r="O64" s="238" t="s">
        <v>145</v>
      </c>
      <c r="P64" s="237"/>
      <c r="Q64" s="237"/>
      <c r="R64" s="240">
        <f>P54</f>
        <v>0</v>
      </c>
      <c r="S64" s="238" t="s">
        <v>145</v>
      </c>
      <c r="T64" s="237"/>
      <c r="U64" s="237"/>
      <c r="V64" s="240">
        <f>T54</f>
        <v>0</v>
      </c>
      <c r="W64" s="238" t="s">
        <v>145</v>
      </c>
      <c r="X64" s="237"/>
    </row>
    <row r="65" spans="5:24" ht="12.75">
      <c r="E65" s="237"/>
      <c r="F65" s="241"/>
      <c r="G65" s="242" t="s">
        <v>145</v>
      </c>
      <c r="H65" s="241"/>
      <c r="I65" s="241"/>
      <c r="J65" s="241"/>
      <c r="K65" s="242" t="s">
        <v>145</v>
      </c>
      <c r="L65" s="241"/>
      <c r="M65" s="241"/>
      <c r="N65" s="241"/>
      <c r="O65" s="242" t="s">
        <v>145</v>
      </c>
      <c r="P65" s="241"/>
      <c r="Q65" s="241"/>
      <c r="R65" s="241"/>
      <c r="S65" s="242" t="s">
        <v>145</v>
      </c>
      <c r="T65" s="241"/>
      <c r="U65" s="241"/>
      <c r="V65" s="241"/>
      <c r="W65" s="242" t="s">
        <v>145</v>
      </c>
      <c r="X65" s="241"/>
    </row>
    <row r="66" spans="5:24" ht="12.75">
      <c r="E66" s="237"/>
      <c r="F66" s="237"/>
      <c r="G66" s="238" t="s">
        <v>145</v>
      </c>
      <c r="H66" s="239"/>
      <c r="I66" s="237"/>
      <c r="J66" s="237"/>
      <c r="K66" s="238" t="s">
        <v>145</v>
      </c>
      <c r="L66" s="237"/>
      <c r="M66" s="237"/>
      <c r="N66" s="237"/>
      <c r="O66" s="238" t="s">
        <v>145</v>
      </c>
      <c r="P66" s="237"/>
      <c r="Q66" s="237"/>
      <c r="R66" s="237"/>
      <c r="S66" s="238" t="s">
        <v>145</v>
      </c>
      <c r="T66" s="237"/>
      <c r="U66" s="237"/>
      <c r="V66" s="237"/>
      <c r="W66" s="238" t="s">
        <v>145</v>
      </c>
      <c r="X66" s="237"/>
    </row>
    <row r="67" spans="5:24" ht="12.75">
      <c r="E67" s="237"/>
      <c r="F67" s="237"/>
      <c r="G67" s="238" t="s">
        <v>145</v>
      </c>
      <c r="H67" s="239"/>
      <c r="I67" s="237"/>
      <c r="J67" s="237"/>
      <c r="K67" s="238" t="s">
        <v>145</v>
      </c>
      <c r="L67" s="237"/>
      <c r="M67" s="237"/>
      <c r="N67" s="237"/>
      <c r="O67" s="238" t="s">
        <v>145</v>
      </c>
      <c r="P67" s="237"/>
      <c r="Q67" s="237"/>
      <c r="R67" s="237"/>
      <c r="S67" s="238" t="s">
        <v>145</v>
      </c>
      <c r="T67" s="237"/>
      <c r="U67" s="237"/>
      <c r="V67" s="237"/>
      <c r="W67" s="238" t="s">
        <v>145</v>
      </c>
      <c r="X67" s="237"/>
    </row>
    <row r="68" spans="5:24" ht="12.75">
      <c r="E68" s="237"/>
      <c r="F68" s="237"/>
      <c r="G68" s="238" t="s">
        <v>145</v>
      </c>
      <c r="H68" s="239"/>
      <c r="I68" s="237"/>
      <c r="J68" s="237"/>
      <c r="K68" s="238" t="s">
        <v>145</v>
      </c>
      <c r="L68" s="237"/>
      <c r="M68" s="237"/>
      <c r="N68" s="237"/>
      <c r="O68" s="238" t="s">
        <v>145</v>
      </c>
      <c r="P68" s="237"/>
      <c r="Q68" s="237"/>
      <c r="R68" s="237"/>
      <c r="S68" s="238" t="s">
        <v>145</v>
      </c>
      <c r="T68" s="237"/>
      <c r="U68" s="237"/>
      <c r="V68" s="237"/>
      <c r="W68" s="238" t="s">
        <v>145</v>
      </c>
      <c r="X68" s="237"/>
    </row>
    <row r="69" spans="5:24" ht="12.75">
      <c r="E69" s="237"/>
      <c r="F69" s="259">
        <f>IF(F12&gt;0,(-B4*(F12-G12/2)^2)/2,0)</f>
        <v>-2265.8737499999997</v>
      </c>
      <c r="G69" s="238" t="s">
        <v>145</v>
      </c>
      <c r="H69" s="243">
        <f>IF($H$12&gt;0,((($B$4*$H$12)/2+(($H$53+$J$53)/$H$12))*($G$12/2))-H53-($B$4*($G$12/2)^2)/2,0)</f>
        <v>-8277.062139793694</v>
      </c>
      <c r="I69" s="237"/>
      <c r="J69" s="246">
        <f>IF($H$12&gt;0,((($B$4*$H$12)/2-(($H$53+$J$53)/$H$12))*($K$12/2))+$J$53-($B$4*($K$12/2)^2)/2,0)</f>
        <v>-23946.5585416725</v>
      </c>
      <c r="K69" s="238" t="s">
        <v>145</v>
      </c>
      <c r="L69" s="243">
        <f>IF($L$12&gt;0,((($B$4*$L$12)/2+(($L$53+$N$53)/$L$12))*($K$12/2))-L53-($B$4*($K$12/2)^2)/2,0)</f>
        <v>-37871.28509321855</v>
      </c>
      <c r="M69" s="237"/>
      <c r="N69" s="246">
        <f>IF($L$12&gt;0,((($B$4*$L$12)/2-(($L$53+$N$53)/$L$12))*($O$12/2))+N53-($B$4*($O$12/2)^2)/2,0)</f>
        <v>-26362.11993733469</v>
      </c>
      <c r="O69" s="238" t="s">
        <v>145</v>
      </c>
      <c r="P69" s="243">
        <f>IF($P$12&gt;0,((($B$4*$P$12)/2+(($P$53+$R$53)/$P$12))*($O$12/2))-P53-($B$4*($O$12/2)^2)/2,0)</f>
        <v>0</v>
      </c>
      <c r="Q69" s="237"/>
      <c r="R69" s="246">
        <f>IF($P$12&gt;0,((($B$4*$P$12)/2-(($P$53+$R$53)/$P$12))*($S$12/2))+R53-($B$4*($S$12/2)^2)/2,0)</f>
        <v>0</v>
      </c>
      <c r="S69" s="238" t="s">
        <v>145</v>
      </c>
      <c r="T69" s="243">
        <f>IF($T$12&gt;0,((($B$4*$T$12)/2+(($T$53+$V$53)/$T$12))*($S$12/2))-T53-($B$4*($S$12/2)^2)/2,0)</f>
        <v>0</v>
      </c>
      <c r="U69" s="237"/>
      <c r="V69" s="246">
        <f>IF($T$12&gt;0,((($B$4*$T$12)/2-(($T$53+$V$53)/$T$12))*($W$12/2))+V53-($B$4*($W$12/2)^2)/2,0)</f>
        <v>0</v>
      </c>
      <c r="W69" s="238" t="s">
        <v>145</v>
      </c>
      <c r="X69" s="260">
        <f>IF(X12&gt;0,(-B4*(X12-W12/2)^2)/2,0)</f>
        <v>0</v>
      </c>
    </row>
    <row r="70" spans="5:24" ht="12.75"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  <c r="S70" s="237"/>
      <c r="T70" s="237"/>
      <c r="U70" s="237"/>
      <c r="V70" s="237"/>
      <c r="W70" s="237"/>
      <c r="X70" s="237"/>
    </row>
    <row r="71" spans="5:24" ht="12.75">
      <c r="E71" s="237"/>
      <c r="F71" s="245"/>
      <c r="G71" s="243"/>
      <c r="H71" s="246"/>
      <c r="I71" s="243"/>
      <c r="J71" s="246"/>
      <c r="K71" s="243"/>
      <c r="L71" s="246"/>
      <c r="M71" s="243"/>
      <c r="N71" s="246"/>
      <c r="O71" s="247"/>
      <c r="P71" s="239"/>
      <c r="Q71" s="237"/>
      <c r="R71" s="237"/>
      <c r="S71" s="237"/>
      <c r="T71" s="237"/>
      <c r="U71" s="237"/>
      <c r="V71" s="237"/>
      <c r="W71" s="237"/>
      <c r="X71" s="237"/>
    </row>
    <row r="72" spans="5:24" ht="12.75"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</row>
    <row r="73" spans="5:24" ht="12.75">
      <c r="E73" s="237"/>
      <c r="F73" s="237"/>
      <c r="G73" s="237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7"/>
      <c r="S73" s="237"/>
      <c r="T73" s="237"/>
      <c r="U73" s="237"/>
      <c r="V73" s="237"/>
      <c r="W73" s="237"/>
      <c r="X73" s="237"/>
    </row>
    <row r="74" spans="5:24" ht="12.75">
      <c r="E74" s="237"/>
      <c r="F74" s="237"/>
      <c r="G74" s="238" t="s">
        <v>145</v>
      </c>
      <c r="H74" s="237"/>
      <c r="I74" s="237"/>
      <c r="J74" s="237"/>
      <c r="K74" s="238" t="s">
        <v>145</v>
      </c>
      <c r="L74" s="237"/>
      <c r="M74" s="237"/>
      <c r="N74" s="237"/>
      <c r="O74" s="238" t="s">
        <v>145</v>
      </c>
      <c r="P74" s="237"/>
      <c r="Q74" s="237"/>
      <c r="R74" s="237"/>
      <c r="S74" s="238" t="s">
        <v>145</v>
      </c>
      <c r="T74" s="237"/>
      <c r="U74" s="237"/>
      <c r="V74" s="237"/>
      <c r="W74" s="238" t="s">
        <v>145</v>
      </c>
      <c r="X74" s="237"/>
    </row>
    <row r="75" spans="5:24" ht="12.75">
      <c r="E75" s="237"/>
      <c r="F75" s="248">
        <f>IF($H$12&gt;0,($B$4*$H$12)/2+(($H$53+$J$53)/$H$12),0)</f>
        <v>19253.750425370527</v>
      </c>
      <c r="G75" s="249" t="s">
        <v>145</v>
      </c>
      <c r="H75" s="250"/>
      <c r="I75" s="250"/>
      <c r="J75" s="248">
        <f>IF($H$12&gt;0,($B$4*$H$12)/2-(($H$53+$J$53)/$H$12),0)</f>
        <v>25459.491574629465</v>
      </c>
      <c r="K75" s="249" t="s">
        <v>145</v>
      </c>
      <c r="L75" s="250"/>
      <c r="M75" s="250"/>
      <c r="N75" s="248">
        <f>IF($L$12&gt;0,($B$4*$L$12)/2-(($L$53+$N$53)/$L$12),0)</f>
        <v>31621.143897942504</v>
      </c>
      <c r="O75" s="249" t="s">
        <v>145</v>
      </c>
      <c r="P75" s="250"/>
      <c r="Q75" s="250"/>
      <c r="R75" s="248">
        <f>IF($P$12&gt;0,($B$4*$P$12)/2-(($P$53+$R$53)/$P$12),0)</f>
        <v>0</v>
      </c>
      <c r="S75" s="249" t="s">
        <v>145</v>
      </c>
      <c r="T75" s="251"/>
      <c r="U75" s="251"/>
      <c r="V75" s="248">
        <f>IF($T$12&gt;0,($B$4*$T$12)/2-(($T$53+$V$53)/$T$12),0)</f>
        <v>0</v>
      </c>
      <c r="W75" s="249" t="s">
        <v>145</v>
      </c>
      <c r="X75" s="250"/>
    </row>
    <row r="76" spans="5:24" ht="12.75">
      <c r="E76" s="237"/>
      <c r="F76" s="252"/>
      <c r="G76" s="253" t="s">
        <v>145</v>
      </c>
      <c r="H76" s="252"/>
      <c r="I76" s="252"/>
      <c r="J76" s="252"/>
      <c r="K76" s="253" t="s">
        <v>145</v>
      </c>
      <c r="L76" s="252"/>
      <c r="M76" s="252"/>
      <c r="N76" s="252"/>
      <c r="O76" s="253" t="s">
        <v>145</v>
      </c>
      <c r="P76" s="252"/>
      <c r="Q76" s="252"/>
      <c r="R76" s="252"/>
      <c r="S76" s="253" t="s">
        <v>145</v>
      </c>
      <c r="T76" s="252"/>
      <c r="U76" s="252"/>
      <c r="V76" s="252"/>
      <c r="W76" s="253" t="s">
        <v>145</v>
      </c>
      <c r="X76" s="252"/>
    </row>
    <row r="77" spans="5:24" ht="12.75">
      <c r="E77" s="237"/>
      <c r="F77" s="254"/>
      <c r="G77" s="255" t="s">
        <v>145</v>
      </c>
      <c r="H77" s="254"/>
      <c r="I77" s="254"/>
      <c r="J77" s="254"/>
      <c r="K77" s="255" t="s">
        <v>145</v>
      </c>
      <c r="L77" s="254"/>
      <c r="M77" s="254"/>
      <c r="N77" s="254"/>
      <c r="O77" s="255" t="s">
        <v>145</v>
      </c>
      <c r="P77" s="254"/>
      <c r="Q77" s="254"/>
      <c r="R77" s="254"/>
      <c r="S77" s="255" t="s">
        <v>145</v>
      </c>
      <c r="T77" s="254"/>
      <c r="U77" s="254"/>
      <c r="V77" s="254"/>
      <c r="W77" s="255" t="s">
        <v>145</v>
      </c>
      <c r="X77" s="254"/>
    </row>
    <row r="78" spans="5:24" ht="12.75">
      <c r="E78" s="237"/>
      <c r="F78" s="250"/>
      <c r="G78" s="249" t="s">
        <v>145</v>
      </c>
      <c r="H78" s="250"/>
      <c r="I78" s="250"/>
      <c r="J78" s="250"/>
      <c r="K78" s="249" t="s">
        <v>145</v>
      </c>
      <c r="L78" s="250"/>
      <c r="M78" s="250"/>
      <c r="N78" s="250"/>
      <c r="O78" s="249" t="s">
        <v>145</v>
      </c>
      <c r="P78" s="250"/>
      <c r="Q78" s="250"/>
      <c r="R78" s="250"/>
      <c r="S78" s="249" t="s">
        <v>145</v>
      </c>
      <c r="T78" s="250"/>
      <c r="U78" s="250"/>
      <c r="V78" s="250"/>
      <c r="W78" s="249" t="s">
        <v>145</v>
      </c>
      <c r="X78" s="250"/>
    </row>
    <row r="79" spans="5:24" ht="12.75">
      <c r="E79" s="237"/>
      <c r="F79" s="250"/>
      <c r="G79" s="249" t="s">
        <v>145</v>
      </c>
      <c r="H79" s="250"/>
      <c r="I79" s="250"/>
      <c r="J79" s="250"/>
      <c r="K79" s="249" t="s">
        <v>145</v>
      </c>
      <c r="L79" s="250"/>
      <c r="M79" s="250"/>
      <c r="N79" s="250"/>
      <c r="O79" s="249" t="s">
        <v>145</v>
      </c>
      <c r="P79" s="250"/>
      <c r="Q79" s="250"/>
      <c r="R79" s="250"/>
      <c r="S79" s="249" t="s">
        <v>145</v>
      </c>
      <c r="T79" s="250"/>
      <c r="U79" s="250"/>
      <c r="V79" s="250"/>
      <c r="W79" s="249" t="s">
        <v>145</v>
      </c>
      <c r="X79" s="250"/>
    </row>
    <row r="80" spans="5:24" ht="12.75">
      <c r="E80" s="237"/>
      <c r="F80" s="250"/>
      <c r="G80" s="249" t="s">
        <v>145</v>
      </c>
      <c r="H80" s="256">
        <f>$B$4*$F$12</f>
        <v>8056.439999999999</v>
      </c>
      <c r="I80" s="250"/>
      <c r="J80" s="250"/>
      <c r="K80" s="249" t="s">
        <v>145</v>
      </c>
      <c r="L80" s="256">
        <f>IF($L$12&gt;0,($B$4*$L$12)/2+(($L$53+$N$53)/$L$12),0)</f>
        <v>34602.792902057496</v>
      </c>
      <c r="M80" s="250"/>
      <c r="N80" s="250"/>
      <c r="O80" s="249" t="s">
        <v>145</v>
      </c>
      <c r="P80" s="256">
        <f>IF($P$12&gt;0,($B$4*$P$12)/2+(($P$53+$R$53)/$P$12),0)</f>
        <v>0</v>
      </c>
      <c r="Q80" s="250"/>
      <c r="R80" s="250"/>
      <c r="S80" s="249" t="s">
        <v>145</v>
      </c>
      <c r="T80" s="256">
        <f>IF($T$12&gt;0,($B$4*$T$12)/2+(($T$53+$V$53)/$T$12),0)</f>
        <v>0</v>
      </c>
      <c r="U80" s="250"/>
      <c r="V80" s="250"/>
      <c r="W80" s="249" t="s">
        <v>145</v>
      </c>
      <c r="X80" s="256">
        <f>$B$4*$X$12</f>
        <v>0</v>
      </c>
    </row>
    <row r="81" spans="5:24" ht="12.75">
      <c r="E81" s="237"/>
      <c r="F81" s="237"/>
      <c r="G81" s="238" t="s">
        <v>145</v>
      </c>
      <c r="H81" s="237"/>
      <c r="I81" s="237"/>
      <c r="J81" s="243"/>
      <c r="K81" s="238" t="s">
        <v>145</v>
      </c>
      <c r="L81" s="237"/>
      <c r="M81" s="237"/>
      <c r="N81" s="237"/>
      <c r="O81" s="238" t="s">
        <v>145</v>
      </c>
      <c r="P81" s="237"/>
      <c r="Q81" s="237"/>
      <c r="R81" s="237"/>
      <c r="S81" s="238" t="s">
        <v>145</v>
      </c>
      <c r="T81" s="237"/>
      <c r="U81" s="237"/>
      <c r="V81" s="237"/>
      <c r="W81" s="238" t="s">
        <v>145</v>
      </c>
      <c r="X81" s="237"/>
    </row>
    <row r="82" spans="5:25" ht="13.5">
      <c r="E82" s="237"/>
      <c r="F82" s="237"/>
      <c r="G82" s="257">
        <f>F75+H80</f>
        <v>27310.190425370525</v>
      </c>
      <c r="H82" s="258"/>
      <c r="I82" s="258"/>
      <c r="J82" s="258"/>
      <c r="K82" s="257">
        <f>J75+L80</f>
        <v>60062.28447668696</v>
      </c>
      <c r="L82" s="258"/>
      <c r="M82" s="258"/>
      <c r="N82" s="258"/>
      <c r="O82" s="257">
        <f>N75+P80</f>
        <v>31621.143897942504</v>
      </c>
      <c r="P82" s="258"/>
      <c r="Q82" s="258"/>
      <c r="R82" s="258"/>
      <c r="S82" s="257">
        <f>R75+T80</f>
        <v>0</v>
      </c>
      <c r="T82" s="258"/>
      <c r="U82" s="258"/>
      <c r="V82" s="258"/>
      <c r="W82" s="257">
        <f>V75+X80</f>
        <v>0</v>
      </c>
      <c r="X82" s="258"/>
      <c r="Y82" s="236"/>
    </row>
  </sheetData>
  <mergeCells count="47">
    <mergeCell ref="C57:F57"/>
    <mergeCell ref="H12:J12"/>
    <mergeCell ref="H54:J54"/>
    <mergeCell ref="F35:H35"/>
    <mergeCell ref="F30:H30"/>
    <mergeCell ref="J30:L30"/>
    <mergeCell ref="F20:H20"/>
    <mergeCell ref="F25:H25"/>
    <mergeCell ref="J25:L25"/>
    <mergeCell ref="J20:L20"/>
    <mergeCell ref="A1:Y1"/>
    <mergeCell ref="D12:E12"/>
    <mergeCell ref="C56:F56"/>
    <mergeCell ref="L12:N12"/>
    <mergeCell ref="P12:R12"/>
    <mergeCell ref="T12:V12"/>
    <mergeCell ref="T54:V54"/>
    <mergeCell ref="V40:X40"/>
    <mergeCell ref="V45:X45"/>
    <mergeCell ref="V50:X50"/>
    <mergeCell ref="R50:T50"/>
    <mergeCell ref="R40:T40"/>
    <mergeCell ref="F50:H50"/>
    <mergeCell ref="J50:L50"/>
    <mergeCell ref="N50:P50"/>
    <mergeCell ref="F40:H40"/>
    <mergeCell ref="J40:L40"/>
    <mergeCell ref="N40:P40"/>
    <mergeCell ref="P54:R54"/>
    <mergeCell ref="L54:N54"/>
    <mergeCell ref="F45:H45"/>
    <mergeCell ref="J45:L45"/>
    <mergeCell ref="N45:P45"/>
    <mergeCell ref="R45:T45"/>
    <mergeCell ref="V35:X35"/>
    <mergeCell ref="J35:L35"/>
    <mergeCell ref="N35:P35"/>
    <mergeCell ref="R35:T35"/>
    <mergeCell ref="N30:P30"/>
    <mergeCell ref="R30:T30"/>
    <mergeCell ref="R20:T20"/>
    <mergeCell ref="V20:X20"/>
    <mergeCell ref="N25:P25"/>
    <mergeCell ref="V25:X25"/>
    <mergeCell ref="N20:P20"/>
    <mergeCell ref="R25:T25"/>
    <mergeCell ref="V30:X30"/>
  </mergeCells>
  <printOptions/>
  <pageMargins left="0.75" right="0.75" top="1" bottom="1" header="0" footer="0"/>
  <pageSetup horizontalDpi="600" verticalDpi="600" orientation="portrait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86"/>
  <sheetViews>
    <sheetView showGridLines="0" tabSelected="1" view="pageBreakPreview" zoomScaleNormal="75" zoomScaleSheetLayoutView="100" workbookViewId="0" topLeftCell="A1">
      <selection activeCell="A29" sqref="A29"/>
    </sheetView>
  </sheetViews>
  <sheetFormatPr defaultColWidth="9.140625" defaultRowHeight="12.75"/>
  <cols>
    <col min="1" max="3" width="11.421875" style="0" customWidth="1"/>
    <col min="4" max="4" width="18.140625" style="0" customWidth="1"/>
    <col min="5" max="5" width="15.140625" style="0" customWidth="1"/>
    <col min="6" max="6" width="11.421875" style="0" customWidth="1"/>
    <col min="7" max="7" width="12.140625" style="0" bestFit="1" customWidth="1"/>
    <col min="8" max="8" width="5.8515625" style="0" customWidth="1"/>
    <col min="9" max="9" width="12.140625" style="0" bestFit="1" customWidth="1"/>
    <col min="10" max="10" width="11.421875" style="0" customWidth="1"/>
    <col min="11" max="11" width="17.28125" style="0" customWidth="1"/>
    <col min="12" max="51" width="3.7109375" style="0" customWidth="1"/>
    <col min="52" max="16384" width="11.421875" style="0" customWidth="1"/>
  </cols>
  <sheetData>
    <row r="1" spans="1:10" ht="19.5">
      <c r="A1" s="513" t="s">
        <v>215</v>
      </c>
      <c r="B1" s="513"/>
      <c r="C1" s="513"/>
      <c r="D1" s="513"/>
      <c r="E1" s="513"/>
      <c r="F1" s="513"/>
      <c r="G1" s="513"/>
      <c r="H1" s="513"/>
      <c r="I1" s="513"/>
      <c r="J1" s="513"/>
    </row>
    <row r="3" ht="16.5">
      <c r="A3" s="288" t="s">
        <v>279</v>
      </c>
    </row>
    <row r="4" spans="3:44" ht="15">
      <c r="C4" s="19" t="s">
        <v>299</v>
      </c>
      <c r="D4" s="275" t="s">
        <v>212</v>
      </c>
      <c r="E4" s="289">
        <f>ABS(MIN('CROSS_(1.4cm+1.7cv) fca'!F69:X69))</f>
        <v>37871.28509321855</v>
      </c>
      <c r="F4" s="276" t="s">
        <v>9</v>
      </c>
      <c r="G4" t="s">
        <v>217</v>
      </c>
      <c r="H4" s="287">
        <f>MARCO_EQUIVALENTE!T30/4+MARCO_EQUIVALENTE!T37/4</f>
        <v>280</v>
      </c>
      <c r="I4" t="s">
        <v>3</v>
      </c>
      <c r="AG4" s="5" t="s">
        <v>283</v>
      </c>
      <c r="AH4" s="69">
        <f>E17</f>
        <v>19</v>
      </c>
      <c r="AI4" s="5" t="s">
        <v>310</v>
      </c>
      <c r="AJ4" s="5"/>
      <c r="AK4" s="5"/>
      <c r="AL4" s="5">
        <f>H5</f>
        <v>195</v>
      </c>
      <c r="AM4" s="5" t="s">
        <v>3</v>
      </c>
      <c r="AN4" s="69" t="s">
        <v>281</v>
      </c>
      <c r="AO4" s="69">
        <f>G17</f>
        <v>5</v>
      </c>
      <c r="AP4" s="5" t="s">
        <v>282</v>
      </c>
      <c r="AQ4" s="116">
        <f>(F15/H15)*100</f>
        <v>5.263157894736842</v>
      </c>
      <c r="AR4" s="5" t="s">
        <v>3</v>
      </c>
    </row>
    <row r="5" spans="3:9" ht="15">
      <c r="C5" s="19" t="s">
        <v>298</v>
      </c>
      <c r="D5" s="275" t="s">
        <v>212</v>
      </c>
      <c r="E5" s="289">
        <f>ABS(MIN('CROSS_1.4cm+1.7cv'!F69:X69))</f>
        <v>30879.303711839242</v>
      </c>
      <c r="F5" s="276" t="s">
        <v>9</v>
      </c>
      <c r="G5" s="128" t="s">
        <v>216</v>
      </c>
      <c r="H5" s="287">
        <f>MARCO_EQUIVALENTE!BG30</f>
        <v>195</v>
      </c>
      <c r="I5" t="s">
        <v>3</v>
      </c>
    </row>
    <row r="6" spans="3:9" ht="12.75">
      <c r="C6" s="274"/>
      <c r="D6" s="275"/>
      <c r="F6" s="276"/>
      <c r="G6" s="277"/>
      <c r="H6" s="277"/>
      <c r="I6" s="277"/>
    </row>
    <row r="7" spans="3:37" ht="12.75">
      <c r="C7" s="274"/>
      <c r="D7" s="277"/>
      <c r="E7" s="277"/>
      <c r="F7" s="277"/>
      <c r="G7" s="275" t="s">
        <v>209</v>
      </c>
      <c r="H7" s="283">
        <f>MARCO_EQUIVALENTE!G3</f>
        <v>4200</v>
      </c>
      <c r="I7" s="276" t="s">
        <v>8</v>
      </c>
      <c r="AI7" s="1"/>
      <c r="AJ7" s="7"/>
      <c r="AK7" s="3"/>
    </row>
    <row r="8" spans="3:37" ht="12.75">
      <c r="C8" s="274"/>
      <c r="D8" s="275" t="s">
        <v>196</v>
      </c>
      <c r="E8" s="284">
        <f>0.847-(0.719-(((MAX(E5,E4))*100)/(0.53*H8*H9*(H10)^2)))^0.5</f>
        <v>0.021527329759634894</v>
      </c>
      <c r="F8" s="277"/>
      <c r="G8" s="275" t="s">
        <v>206</v>
      </c>
      <c r="H8" s="283">
        <f>MARCO_EQUIVALENTE!G4</f>
        <v>300</v>
      </c>
      <c r="I8" s="276" t="s">
        <v>8</v>
      </c>
      <c r="AH8" s="343">
        <f>E18</f>
        <v>12</v>
      </c>
      <c r="AI8" s="31" t="s">
        <v>281</v>
      </c>
      <c r="AJ8" s="344">
        <f>G18</f>
        <v>5</v>
      </c>
      <c r="AK8" s="345" t="str">
        <f>H18</f>
        <v>debe pasa por el nucleo de la col.</v>
      </c>
    </row>
    <row r="9" spans="3:41" ht="12.75">
      <c r="C9" s="274"/>
      <c r="D9" s="278" t="s">
        <v>197</v>
      </c>
      <c r="E9" s="284">
        <f>E8*(H8/H7)</f>
        <v>0.0015376664114024924</v>
      </c>
      <c r="F9" s="277"/>
      <c r="G9" s="275" t="s">
        <v>207</v>
      </c>
      <c r="H9" s="283">
        <f>H5</f>
        <v>195</v>
      </c>
      <c r="I9" t="s">
        <v>3</v>
      </c>
      <c r="AG9" s="375"/>
      <c r="AM9" s="1"/>
      <c r="AN9" s="1"/>
      <c r="AO9" s="1"/>
    </row>
    <row r="10" spans="3:38" ht="12.75">
      <c r="C10" s="278"/>
      <c r="D10" s="278" t="s">
        <v>303</v>
      </c>
      <c r="E10" s="2">
        <v>0.0033</v>
      </c>
      <c r="F10" s="277"/>
      <c r="G10" s="275" t="s">
        <v>208</v>
      </c>
      <c r="H10" s="283">
        <f>IF(MARCO_EQUIVALENTE!C85&gt;MARCO_EQUIVALENTE!G10*100,MARCO_EQUIVALENTE!L13,MARCO_EQUIVALENTE!L12)</f>
        <v>57</v>
      </c>
      <c r="I10" t="s">
        <v>3</v>
      </c>
      <c r="Z10" s="380" t="str">
        <f>$H$19</f>
        <v>debe pasa por el ancho de la viga</v>
      </c>
      <c r="AA10" s="116">
        <f>$E$19</f>
        <v>2.835678391959799</v>
      </c>
      <c r="AB10" s="69" t="s">
        <v>281</v>
      </c>
      <c r="AC10" s="69">
        <f>$G$19</f>
        <v>5</v>
      </c>
      <c r="AI10" s="5">
        <f>$E$28</f>
        <v>2</v>
      </c>
      <c r="AJ10" s="69" t="s">
        <v>281</v>
      </c>
      <c r="AK10" s="328">
        <f>$G$28</f>
        <v>4</v>
      </c>
      <c r="AL10" t="s">
        <v>311</v>
      </c>
    </row>
    <row r="11" spans="3:9" ht="15">
      <c r="C11" s="274"/>
      <c r="D11" s="277"/>
      <c r="E11" s="274"/>
      <c r="F11" s="277"/>
      <c r="G11" s="275" t="s">
        <v>213</v>
      </c>
      <c r="H11" s="287">
        <f>MARCO_EQUIVALENTE!M2*100</f>
        <v>20</v>
      </c>
      <c r="I11" t="s">
        <v>3</v>
      </c>
    </row>
    <row r="12" spans="3:9" ht="15">
      <c r="C12" s="275" t="s">
        <v>198</v>
      </c>
      <c r="D12" s="275" t="s">
        <v>199</v>
      </c>
      <c r="E12" s="286">
        <f>(MAX(E9,E10))*H9*H10</f>
        <v>36.6795</v>
      </c>
      <c r="F12" s="276" t="s">
        <v>211</v>
      </c>
      <c r="G12" s="276" t="s">
        <v>214</v>
      </c>
      <c r="H12" s="287">
        <f>MARCO_EQUIVALENTE!G10*100-MARCO_EQUIVALENTE!G36</f>
        <v>42</v>
      </c>
      <c r="I12" t="s">
        <v>3</v>
      </c>
    </row>
    <row r="13" spans="3:39" ht="12.75">
      <c r="C13" s="275" t="s">
        <v>304</v>
      </c>
      <c r="D13" s="275" t="s">
        <v>199</v>
      </c>
      <c r="E13" s="274">
        <f>(MAX(E9,E10)*H13*H10)</f>
        <v>5.643000000000001</v>
      </c>
      <c r="F13" s="276" t="s">
        <v>211</v>
      </c>
      <c r="G13" s="275" t="s">
        <v>305</v>
      </c>
      <c r="H13" s="283">
        <f>MARCO_EQUIVALENTE!C86</f>
        <v>30</v>
      </c>
      <c r="I13" t="s">
        <v>3</v>
      </c>
      <c r="W13" s="341">
        <f>MARCO_EQUIVALENTE!$AD$11</f>
        <v>15</v>
      </c>
      <c r="AA13" s="84">
        <f>MARCO_EQUIVALENTE!$AG$11</f>
        <v>15</v>
      </c>
      <c r="AI13" s="84">
        <f>MARCO_EQUIVALENTE!$AM$11</f>
        <v>15</v>
      </c>
      <c r="AM13" s="87">
        <f>MARCO_EQUIVALENTE!$AP$11</f>
        <v>15</v>
      </c>
    </row>
    <row r="14" spans="3:35" ht="12.75">
      <c r="C14" s="274"/>
      <c r="D14" s="279" t="s">
        <v>200</v>
      </c>
      <c r="E14" s="279" t="s">
        <v>201</v>
      </c>
      <c r="F14" s="279" t="s">
        <v>202</v>
      </c>
      <c r="G14" s="279" t="s">
        <v>203</v>
      </c>
      <c r="H14" s="276" t="s">
        <v>204</v>
      </c>
      <c r="I14" s="277"/>
      <c r="AI14" s="1"/>
    </row>
    <row r="15" spans="3:42" ht="15">
      <c r="C15" s="274"/>
      <c r="D15" s="277"/>
      <c r="E15" s="280" t="str">
        <f>VLOOKUP($Z$276,$Z$277:$AC$286,3,1)</f>
        <v>5/8"</v>
      </c>
      <c r="F15" s="280">
        <f>VLOOKUP($Z$276,$Z$277:$AC$286,4,1)</f>
        <v>1.99</v>
      </c>
      <c r="G15" s="281">
        <f>ROUNDUP(E12/F15,0)</f>
        <v>19</v>
      </c>
      <c r="H15" s="282">
        <f>G15*F15</f>
        <v>37.81</v>
      </c>
      <c r="I15" s="277"/>
      <c r="AA15" s="5">
        <f>$E$79</f>
        <v>3</v>
      </c>
      <c r="AB15" s="69" t="s">
        <v>281</v>
      </c>
      <c r="AC15" s="69">
        <f>$G$79</f>
        <v>5</v>
      </c>
      <c r="AE15" s="84">
        <f>MARCO_EQUIVALENTE!$AJ$11</f>
        <v>30</v>
      </c>
      <c r="AI15" s="342">
        <f>MAX(E84,E89)</f>
        <v>1.3809999999999998</v>
      </c>
      <c r="AJ15" s="69" t="s">
        <v>281</v>
      </c>
      <c r="AK15" s="328">
        <f>$G$84</f>
        <v>5</v>
      </c>
      <c r="AN15" s="342">
        <f>MAX(E147,E152,E157)</f>
        <v>1.8739999999999999</v>
      </c>
      <c r="AO15" s="69" t="s">
        <v>281</v>
      </c>
      <c r="AP15" s="328">
        <f>$G$147</f>
        <v>5</v>
      </c>
    </row>
    <row r="16" spans="3:9" ht="12.75">
      <c r="C16" s="274"/>
      <c r="D16" s="277"/>
      <c r="E16" s="277"/>
      <c r="F16" s="277"/>
      <c r="G16" s="277"/>
      <c r="H16" s="277"/>
      <c r="I16" s="277"/>
    </row>
    <row r="17" spans="4:11" ht="16.5">
      <c r="D17" s="275" t="s">
        <v>229</v>
      </c>
      <c r="E17" s="336">
        <f>G15</f>
        <v>19</v>
      </c>
      <c r="F17" s="285" t="s">
        <v>210</v>
      </c>
      <c r="G17" s="337">
        <f>VLOOKUP($Z$276,$Z$277:$AC$286,2,1)</f>
        <v>5</v>
      </c>
      <c r="H17" s="276" t="s">
        <v>222</v>
      </c>
      <c r="I17" s="277"/>
      <c r="K17" t="s">
        <v>271</v>
      </c>
    </row>
    <row r="18" spans="4:11" ht="16.5">
      <c r="D18" s="275" t="s">
        <v>221</v>
      </c>
      <c r="E18" s="340">
        <f>ROUNDUP(E17*0.6,0)</f>
        <v>12</v>
      </c>
      <c r="F18" s="285" t="s">
        <v>210</v>
      </c>
      <c r="G18" s="339">
        <f>G17</f>
        <v>5</v>
      </c>
      <c r="H18" s="276" t="s">
        <v>218</v>
      </c>
      <c r="I18" s="277"/>
      <c r="K18" t="s">
        <v>271</v>
      </c>
    </row>
    <row r="19" spans="2:11" ht="16.5">
      <c r="B19" s="19" t="s">
        <v>308</v>
      </c>
      <c r="C19" s="336">
        <f>E18</f>
        <v>12</v>
      </c>
      <c r="D19" s="279" t="s">
        <v>307</v>
      </c>
      <c r="E19" s="379">
        <f>(E13*E17)/H15</f>
        <v>2.835678391959799</v>
      </c>
      <c r="F19" s="285" t="s">
        <v>210</v>
      </c>
      <c r="G19" s="339">
        <f>G18</f>
        <v>5</v>
      </c>
      <c r="H19" s="276" t="s">
        <v>306</v>
      </c>
      <c r="I19" s="277"/>
      <c r="K19" t="s">
        <v>271</v>
      </c>
    </row>
    <row r="20" spans="1:9" ht="16.5">
      <c r="A20" s="288" t="s">
        <v>280</v>
      </c>
      <c r="D20" s="277"/>
      <c r="E20" s="277"/>
      <c r="F20" s="277"/>
      <c r="G20" s="277"/>
      <c r="H20" s="277"/>
      <c r="I20" s="277"/>
    </row>
    <row r="21" spans="1:9" ht="16.5">
      <c r="A21" s="288"/>
      <c r="D21" s="277"/>
      <c r="E21" s="277"/>
      <c r="F21" s="277"/>
      <c r="G21" s="277"/>
      <c r="H21" s="277"/>
      <c r="I21" s="277"/>
    </row>
    <row r="22" spans="3:9" ht="12.75">
      <c r="C22" s="275"/>
      <c r="D22" s="515" t="s">
        <v>309</v>
      </c>
      <c r="E22" s="515"/>
      <c r="F22" s="381">
        <f>((0.7*(H8)^0.5)/H7)*H11*H12</f>
        <v>2.424871130596428</v>
      </c>
      <c r="G22" s="276" t="s">
        <v>211</v>
      </c>
      <c r="H22" s="277"/>
      <c r="I22" s="277"/>
    </row>
    <row r="23" spans="3:9" ht="12.75">
      <c r="C23" s="274"/>
      <c r="D23" s="277"/>
      <c r="E23" s="277"/>
      <c r="F23" s="277"/>
      <c r="G23" s="277"/>
      <c r="H23" s="277"/>
      <c r="I23" s="277"/>
    </row>
    <row r="24" spans="3:9" ht="12.75">
      <c r="C24" s="274"/>
      <c r="D24" s="279" t="s">
        <v>200</v>
      </c>
      <c r="E24" s="279" t="s">
        <v>201</v>
      </c>
      <c r="F24" s="279" t="s">
        <v>202</v>
      </c>
      <c r="G24" s="279" t="s">
        <v>203</v>
      </c>
      <c r="H24" s="276" t="s">
        <v>204</v>
      </c>
      <c r="I24" s="277"/>
    </row>
    <row r="25" spans="3:9" ht="15">
      <c r="C25" s="274"/>
      <c r="D25" s="277"/>
      <c r="E25" s="280" t="str">
        <f>VLOOKUP($Z$275,$Z$277:$AC$286,3,1)</f>
        <v>1/2"</v>
      </c>
      <c r="F25" s="280">
        <f>VLOOKUP($Z$275,$Z$277:$AC$286,4,1)</f>
        <v>1.27</v>
      </c>
      <c r="G25" s="281">
        <f>ROUNDUP(F22/F25,0)</f>
        <v>2</v>
      </c>
      <c r="H25" s="282">
        <f>G25*F25</f>
        <v>2.54</v>
      </c>
      <c r="I25" s="277"/>
    </row>
    <row r="26" spans="3:9" ht="12.75">
      <c r="C26" s="274"/>
      <c r="D26" s="277"/>
      <c r="E26" s="277"/>
      <c r="F26" s="277"/>
      <c r="G26" s="277"/>
      <c r="H26" s="277"/>
      <c r="I26" s="277"/>
    </row>
    <row r="27" spans="3:9" ht="12.75">
      <c r="C27" s="274"/>
      <c r="D27" s="277"/>
      <c r="E27" s="277"/>
      <c r="F27" s="277"/>
      <c r="G27" s="277"/>
      <c r="H27" s="277"/>
      <c r="I27" s="277"/>
    </row>
    <row r="28" spans="3:9" ht="16.5">
      <c r="C28" s="274"/>
      <c r="D28" s="275" t="s">
        <v>205</v>
      </c>
      <c r="E28" s="337">
        <f>G25</f>
        <v>2</v>
      </c>
      <c r="F28" s="285" t="s">
        <v>210</v>
      </c>
      <c r="G28" s="337">
        <f>VLOOKUP($Z$275,$Z$277:$AC$286,2,1)</f>
        <v>4</v>
      </c>
      <c r="H28" s="276" t="s">
        <v>272</v>
      </c>
      <c r="I28" s="277"/>
    </row>
    <row r="29" spans="3:9" ht="12.75">
      <c r="C29" s="274"/>
      <c r="D29" s="277"/>
      <c r="E29" s="277"/>
      <c r="F29" s="277"/>
      <c r="G29" s="277"/>
      <c r="H29" s="277"/>
      <c r="I29" s="277"/>
    </row>
    <row r="31" ht="16.5">
      <c r="B31" s="394" t="s">
        <v>317</v>
      </c>
    </row>
    <row r="33" ht="12.75">
      <c r="B33" t="s">
        <v>223</v>
      </c>
    </row>
    <row r="35" spans="2:5" ht="15.75">
      <c r="B35" s="290" t="s">
        <v>224</v>
      </c>
      <c r="C35" s="37">
        <f>1-(1/(1+((2/3)*((E35+E37)/(E36+E37))^0.5)))</f>
        <v>0.3876841633436219</v>
      </c>
      <c r="D35" s="19" t="s">
        <v>225</v>
      </c>
      <c r="E35" s="231">
        <f>MARCO_EQUIVALENTE!M5*100</f>
        <v>50</v>
      </c>
    </row>
    <row r="36" spans="4:36" ht="12.75">
      <c r="D36" s="19" t="s">
        <v>226</v>
      </c>
      <c r="E36" s="231">
        <f>MARCO_EQUIVALENTE!N5*100</f>
        <v>60</v>
      </c>
      <c r="AG36" s="375"/>
      <c r="AH36" s="382"/>
      <c r="AI36" s="374"/>
      <c r="AJ36" s="345"/>
    </row>
    <row r="37" spans="4:5" ht="12.75">
      <c r="D37" s="19" t="s">
        <v>208</v>
      </c>
      <c r="E37" s="231">
        <f>MARCO_EQUIVALENTE!G10*100-MARCO_EQUIVALENTE!G36</f>
        <v>42</v>
      </c>
    </row>
    <row r="38" spans="26:38" ht="12.75">
      <c r="Z38" s="380" t="str">
        <f>$H$19</f>
        <v>debe pasa por el ancho de la viga</v>
      </c>
      <c r="AA38" s="116">
        <f>$E$19</f>
        <v>2.835678391959799</v>
      </c>
      <c r="AB38" s="69" t="s">
        <v>281</v>
      </c>
      <c r="AC38" s="69">
        <f>$G$19</f>
        <v>5</v>
      </c>
      <c r="AJ38" s="5">
        <f>$E$28</f>
        <v>2</v>
      </c>
      <c r="AK38" s="69" t="s">
        <v>281</v>
      </c>
      <c r="AL38" s="328">
        <f>$G$28</f>
        <v>4</v>
      </c>
    </row>
    <row r="39" spans="2:3" ht="15.75">
      <c r="B39" s="290" t="s">
        <v>227</v>
      </c>
      <c r="C39" s="291">
        <f>1-C35</f>
        <v>0.6123158366563781</v>
      </c>
    </row>
    <row r="40" spans="2:3" ht="12.75">
      <c r="B40" s="19" t="s">
        <v>195</v>
      </c>
      <c r="C40" s="231">
        <f>MAX('CROSS_1.4cm+1.7cv'!F53,'CROSS_1.4cm+1.7cv'!H53,'CROSS_1.4cm+1.7cv'!J53,'CROSS_1.4cm+1.7cv'!L53,'CROSS_1.4cm+1.7cv'!N53,'CROSS_1.4cm+1.7cv'!P53,'CROSS_1.4cm+1.7cv'!R53,'CROSS_1.4cm+1.7cv'!T53,'CROSS_1.4cm+1.7cv'!V53,'CROSS_1.4cm+1.7cv'!X53,'CROSS_(1.4cm+1.7cv) fca'!F53,'CROSS_(1.4cm+1.7cv) fca'!H53,'CROSS_(1.4cm+1.7cv) fca'!J53,'CROSS_(1.4cm+1.7cv) fca'!L53,'CROSS_(1.4cm+1.7cv) fca'!N53,'CROSS_(1.4cm+1.7cv) fca'!P53,'CROSS_(1.4cm+1.7cv) fca'!R53,'CROSS_(1.4cm+1.7cv) fca'!T53,'CROSS_(1.4cm+1.7cv) fca'!V53,'CROSS_(1.4cm+1.7cv) fca'!X53)</f>
        <v>46270.21956873292</v>
      </c>
    </row>
    <row r="41" spans="23:39" ht="12.75">
      <c r="W41" s="341">
        <f>MARCO_EQUIVALENTE!$AD$11</f>
        <v>15</v>
      </c>
      <c r="AA41" s="84">
        <f>MARCO_EQUIVALENTE!$AG$11</f>
        <v>15</v>
      </c>
      <c r="AI41" s="84">
        <f>MARCO_EQUIVALENTE!$AM$11</f>
        <v>15</v>
      </c>
      <c r="AM41" s="87">
        <f>MARCO_EQUIVALENTE!$AP$11</f>
        <v>15</v>
      </c>
    </row>
    <row r="42" spans="2:6" ht="16.5">
      <c r="B42" s="290" t="s">
        <v>228</v>
      </c>
      <c r="C42" s="292">
        <f>C40*C39</f>
        <v>28331.98820750302</v>
      </c>
      <c r="D42" s="235" t="str">
        <f>IF(C42&lt;E42,"&lt; ","&gt;")</f>
        <v>&lt; </v>
      </c>
      <c r="E42" s="292">
        <f>E5</f>
        <v>30879.303711839242</v>
      </c>
      <c r="F42" s="80" t="str">
        <f>IF(C42&lt;E42,"OK.  NO HAY PROBLEMA DE TRANSMISION DE MOMENTO","FALLA POR TRANSMISION DE MOMENTO")</f>
        <v>OK.  NO HAY PROBLEMA DE TRANSMISION DE MOMENTO</v>
      </c>
    </row>
    <row r="43" spans="27:42" ht="12.75">
      <c r="AA43" s="5">
        <f>$E$79</f>
        <v>3</v>
      </c>
      <c r="AB43" s="69" t="s">
        <v>281</v>
      </c>
      <c r="AC43" s="69">
        <f>$G$79</f>
        <v>5</v>
      </c>
      <c r="AE43" s="83">
        <f>AE15</f>
        <v>30</v>
      </c>
      <c r="AI43" s="342">
        <f>AI15</f>
        <v>1.3809999999999998</v>
      </c>
      <c r="AJ43" s="69" t="s">
        <v>281</v>
      </c>
      <c r="AK43" s="328">
        <f>$G$84</f>
        <v>5</v>
      </c>
      <c r="AN43" s="342">
        <f>AN15</f>
        <v>1.8739999999999999</v>
      </c>
      <c r="AO43" s="69" t="s">
        <v>281</v>
      </c>
      <c r="AP43" s="328">
        <f>$G$147</f>
        <v>5</v>
      </c>
    </row>
    <row r="60" spans="1:10" ht="19.5">
      <c r="A60" s="513" t="s">
        <v>230</v>
      </c>
      <c r="B60" s="513"/>
      <c r="C60" s="513"/>
      <c r="D60" s="513"/>
      <c r="E60" s="513"/>
      <c r="F60" s="513"/>
      <c r="G60" s="513"/>
      <c r="H60" s="513"/>
      <c r="I60" s="513"/>
      <c r="J60" s="513"/>
    </row>
    <row r="62" ht="16.5">
      <c r="A62" s="288" t="s">
        <v>259</v>
      </c>
    </row>
    <row r="63" spans="3:9" ht="15">
      <c r="C63" s="19" t="s">
        <v>299</v>
      </c>
      <c r="D63" s="275" t="s">
        <v>257</v>
      </c>
      <c r="E63" s="289">
        <f>ABS(MAX('CROSS_(1.4cm+1.7cv) fca'!J64,'CROSS_(1.4cm+1.7cv) fca'!N64,'CROSS_(1.4cm+1.7cv) fca'!R64,'CROSS_(1.4cm+1.7cv) fca'!V64))</f>
        <v>27902.164196723374</v>
      </c>
      <c r="F63" s="276" t="s">
        <v>9</v>
      </c>
      <c r="G63" t="s">
        <v>217</v>
      </c>
      <c r="H63" s="287">
        <f>H4</f>
        <v>280</v>
      </c>
      <c r="I63" t="s">
        <v>3</v>
      </c>
    </row>
    <row r="64" spans="3:8" ht="15">
      <c r="C64" s="19" t="s">
        <v>298</v>
      </c>
      <c r="D64" s="275" t="s">
        <v>257</v>
      </c>
      <c r="E64" s="289">
        <f>ABS(MAX('CROSS_1.4cm+1.7cv'!J64,'CROSS_1.4cm+1.7cv'!N64,'CROSS_1.4cm+1.7cv'!R64,'CROSS_1.4cm+1.7cv'!V64))</f>
        <v>28413.35214777614</v>
      </c>
      <c r="F64" s="276" t="s">
        <v>9</v>
      </c>
      <c r="G64" s="128"/>
      <c r="H64" s="287"/>
    </row>
    <row r="65" spans="3:9" ht="15">
      <c r="C65" s="274"/>
      <c r="D65" s="275" t="s">
        <v>258</v>
      </c>
      <c r="E65" s="289">
        <f>0.6*MAX(E64,E63)</f>
        <v>17048.011288665683</v>
      </c>
      <c r="F65" s="276" t="s">
        <v>9</v>
      </c>
      <c r="G65" s="277"/>
      <c r="H65" s="277"/>
      <c r="I65" s="277"/>
    </row>
    <row r="66" spans="3:31" ht="13.5">
      <c r="C66" s="274"/>
      <c r="D66" s="277"/>
      <c r="E66" s="277"/>
      <c r="F66" s="277"/>
      <c r="G66" s="275" t="s">
        <v>209</v>
      </c>
      <c r="H66" s="283">
        <f>H7</f>
        <v>4200</v>
      </c>
      <c r="I66" s="276" t="s">
        <v>8</v>
      </c>
      <c r="AE66" s="1"/>
    </row>
    <row r="67" spans="3:31" ht="13.5">
      <c r="C67" s="274"/>
      <c r="D67" s="275" t="s">
        <v>196</v>
      </c>
      <c r="E67" s="284">
        <f>0.847-(0.719-((E65*100)/(0.53*H67*H69*(H68)^2)))^0.5</f>
        <v>0.06106364176306667</v>
      </c>
      <c r="F67" s="284">
        <f>0.847-(0.719-((E65*100)/(0.53*H67*H69*(H10)^2)))^0.5</f>
        <v>0.03213905473450274</v>
      </c>
      <c r="G67" s="275" t="s">
        <v>206</v>
      </c>
      <c r="H67" s="283">
        <f>H8</f>
        <v>300</v>
      </c>
      <c r="I67" s="276" t="s">
        <v>8</v>
      </c>
      <c r="AE67" s="1"/>
    </row>
    <row r="68" spans="3:31" ht="13.5">
      <c r="C68" s="274"/>
      <c r="D68" s="278" t="s">
        <v>197</v>
      </c>
      <c r="E68" s="284">
        <f>E67*(H67/H66)</f>
        <v>0.004361688697361904</v>
      </c>
      <c r="F68" s="284">
        <f>F67*(H67/H66)</f>
        <v>0.002295646766750195</v>
      </c>
      <c r="G68" s="275" t="s">
        <v>208</v>
      </c>
      <c r="H68" s="283">
        <f>MARCO_EQUIVALENTE!G10*100-MARCO_EQUIVALENTE!G36</f>
        <v>42</v>
      </c>
      <c r="I68" t="s">
        <v>3</v>
      </c>
      <c r="AE68" s="1"/>
    </row>
    <row r="69" spans="3:31" ht="13.5">
      <c r="C69" s="278"/>
      <c r="D69" s="278" t="s">
        <v>303</v>
      </c>
      <c r="E69" s="2">
        <v>0.0033</v>
      </c>
      <c r="F69" s="277"/>
      <c r="G69" s="275" t="s">
        <v>207</v>
      </c>
      <c r="H69" s="283">
        <f>SUM(MARCO_EQUIVALENTE!AV14:AZ15)</f>
        <v>60</v>
      </c>
      <c r="I69" t="s">
        <v>260</v>
      </c>
      <c r="AE69" s="1"/>
    </row>
    <row r="70" spans="3:31" ht="13.5">
      <c r="C70" s="275" t="s">
        <v>198</v>
      </c>
      <c r="D70" s="275" t="s">
        <v>239</v>
      </c>
      <c r="E70" s="286">
        <f>MAX(F68,E69)*H70*H10</f>
        <v>5.643000000000001</v>
      </c>
      <c r="F70" s="276" t="s">
        <v>211</v>
      </c>
      <c r="G70" s="275" t="s">
        <v>234</v>
      </c>
      <c r="H70" s="283">
        <f>IF(MARCO_EQUIVALENTE!AV15+MARCO_EQUIVALENTE!AV14&gt;MARCO_EQUIVALENTE!C86,MARCO_EQUIVALENTE!AV15+MARCO_EQUIVALENTE!AV14,MARCO_EQUIVALENTE!C86)</f>
        <v>30</v>
      </c>
      <c r="AE70" s="1"/>
    </row>
    <row r="71" spans="3:34" ht="13.5">
      <c r="C71" s="304"/>
      <c r="D71" s="275" t="s">
        <v>248</v>
      </c>
      <c r="E71" s="286">
        <f>MAX(E68,E69)*H71*$H$68</f>
        <v>2.7478638793379995</v>
      </c>
      <c r="F71" s="276" t="s">
        <v>211</v>
      </c>
      <c r="G71" s="275" t="s">
        <v>235</v>
      </c>
      <c r="H71" s="10">
        <f>MARCO_EQUIVALENTE!AW14</f>
        <v>15</v>
      </c>
      <c r="J71" s="7"/>
      <c r="K71" s="7"/>
      <c r="AB71" s="1"/>
      <c r="AC71" s="1"/>
      <c r="AD71" s="1"/>
      <c r="AE71" s="1"/>
      <c r="AF71" s="1"/>
      <c r="AG71" s="1"/>
      <c r="AH71" s="1"/>
    </row>
    <row r="72" spans="3:34" ht="15.75" thickBot="1">
      <c r="C72" s="274"/>
      <c r="D72" s="275" t="s">
        <v>249</v>
      </c>
      <c r="E72" s="286">
        <f>MAX(E68,E69)*H72*$H$68</f>
        <v>0</v>
      </c>
      <c r="F72" s="276" t="s">
        <v>211</v>
      </c>
      <c r="G72" s="275" t="s">
        <v>236</v>
      </c>
      <c r="H72" s="287">
        <f>MARCO_EQUIVALENTE!AX14</f>
        <v>0</v>
      </c>
      <c r="I72" s="2"/>
      <c r="J72" s="2"/>
      <c r="AB72" s="1"/>
      <c r="AC72" s="1"/>
      <c r="AD72" s="1"/>
      <c r="AE72" s="1"/>
      <c r="AF72" s="1"/>
      <c r="AG72" s="1"/>
      <c r="AH72" s="1"/>
    </row>
    <row r="73" spans="4:34" ht="15.75" thickBot="1">
      <c r="D73" s="275" t="s">
        <v>250</v>
      </c>
      <c r="E73" s="286">
        <f>MAX(E68,E69)*H73*$H$68</f>
        <v>0</v>
      </c>
      <c r="F73" s="276" t="s">
        <v>211</v>
      </c>
      <c r="G73" s="275" t="s">
        <v>237</v>
      </c>
      <c r="H73" s="287">
        <f>MARCO_EQUIVALENTE!AY14</f>
        <v>0</v>
      </c>
      <c r="AB73" s="1"/>
      <c r="AC73" s="1"/>
      <c r="AD73" s="395"/>
      <c r="AE73" s="396"/>
      <c r="AF73" s="397"/>
      <c r="AG73" s="1"/>
      <c r="AH73" s="1"/>
    </row>
    <row r="74" spans="3:38" ht="15">
      <c r="C74" s="274"/>
      <c r="D74" s="275" t="s">
        <v>251</v>
      </c>
      <c r="E74" s="286">
        <f>MAX(E68,E69)*H74*$H$68</f>
        <v>0</v>
      </c>
      <c r="F74" s="276" t="s">
        <v>211</v>
      </c>
      <c r="G74" s="275" t="s">
        <v>238</v>
      </c>
      <c r="H74" s="287">
        <f>MARCO_EQUIVALENTE!AZ14</f>
        <v>0</v>
      </c>
      <c r="I74" s="277"/>
      <c r="W74" s="395"/>
      <c r="X74" s="396"/>
      <c r="Y74" s="396"/>
      <c r="Z74" s="396"/>
      <c r="AA74" s="396"/>
      <c r="AB74" s="396"/>
      <c r="AC74" s="397"/>
      <c r="AD74" s="398"/>
      <c r="AE74" s="1"/>
      <c r="AF74" s="216"/>
      <c r="AG74" s="395"/>
      <c r="AH74" s="396"/>
      <c r="AI74" s="396"/>
      <c r="AJ74" s="396"/>
      <c r="AK74" s="396"/>
      <c r="AL74" s="397"/>
    </row>
    <row r="75" spans="23:38" ht="13.5" thickBot="1">
      <c r="W75" s="399"/>
      <c r="X75" s="400"/>
      <c r="Y75" s="400"/>
      <c r="Z75" s="400"/>
      <c r="AA75" s="400"/>
      <c r="AB75" s="400"/>
      <c r="AC75" s="401"/>
      <c r="AD75" s="398"/>
      <c r="AE75" s="1"/>
      <c r="AF75" s="216"/>
      <c r="AG75" s="399"/>
      <c r="AH75" s="400"/>
      <c r="AI75" s="400"/>
      <c r="AJ75" s="400"/>
      <c r="AK75" s="400"/>
      <c r="AL75" s="401"/>
    </row>
    <row r="76" spans="3:34" ht="14.25" thickBot="1">
      <c r="C76" s="274"/>
      <c r="D76" s="279" t="s">
        <v>200</v>
      </c>
      <c r="E76" s="279" t="s">
        <v>201</v>
      </c>
      <c r="F76" s="279" t="s">
        <v>202</v>
      </c>
      <c r="G76" s="279" t="s">
        <v>203</v>
      </c>
      <c r="H76" s="276" t="s">
        <v>204</v>
      </c>
      <c r="I76" s="277"/>
      <c r="AB76" s="1"/>
      <c r="AC76" s="1"/>
      <c r="AD76" s="399"/>
      <c r="AE76" s="400"/>
      <c r="AF76" s="401"/>
      <c r="AG76" s="1"/>
      <c r="AH76" s="1"/>
    </row>
    <row r="77" spans="2:34" ht="15">
      <c r="B77" s="19"/>
      <c r="C77" s="279" t="s">
        <v>284</v>
      </c>
      <c r="D77" s="277"/>
      <c r="E77" s="280" t="str">
        <f>VLOOKUP($Z$266,$Z$277:$AC$286,3,1)</f>
        <v>5/8"</v>
      </c>
      <c r="F77" s="280">
        <f>VLOOKUP($Z$266,$Z$277:$AC$286,4,1)</f>
        <v>1.99</v>
      </c>
      <c r="G77" s="281">
        <f>ROUNDUP(E70/F77,0)</f>
        <v>3</v>
      </c>
      <c r="H77" s="282">
        <f>G77*F77</f>
        <v>5.97</v>
      </c>
      <c r="I77" s="277"/>
      <c r="AB77" s="1"/>
      <c r="AC77" s="1"/>
      <c r="AD77" s="1"/>
      <c r="AE77" s="1"/>
      <c r="AF77" s="1"/>
      <c r="AG77" s="1"/>
      <c r="AH77" s="1"/>
    </row>
    <row r="78" spans="3:34" ht="12.75">
      <c r="C78" s="274"/>
      <c r="D78" s="277"/>
      <c r="E78" s="277"/>
      <c r="F78" s="277"/>
      <c r="G78" s="277"/>
      <c r="H78" s="277"/>
      <c r="I78" s="277"/>
      <c r="AB78" s="1"/>
      <c r="AC78" s="1"/>
      <c r="AD78" s="1"/>
      <c r="AE78" s="1"/>
      <c r="AF78" s="1"/>
      <c r="AG78" s="1"/>
      <c r="AH78" s="1"/>
    </row>
    <row r="79" spans="1:31" ht="16.5">
      <c r="A79" s="305"/>
      <c r="B79" s="305"/>
      <c r="D79" s="275" t="s">
        <v>205</v>
      </c>
      <c r="E79" s="336">
        <f>G77</f>
        <v>3</v>
      </c>
      <c r="F79" s="285" t="s">
        <v>210</v>
      </c>
      <c r="G79" s="337">
        <f>VLOOKUP($Z$266,$Z$277:$AC$286,2,1)</f>
        <v>5</v>
      </c>
      <c r="H79" s="276" t="s">
        <v>273</v>
      </c>
      <c r="I79" s="277"/>
      <c r="J79" s="305"/>
      <c r="AE79" s="1"/>
    </row>
    <row r="80" spans="1:31" ht="16.5">
      <c r="A80" s="305"/>
      <c r="B80" s="305"/>
      <c r="C80" s="305"/>
      <c r="D80" s="314"/>
      <c r="E80" s="318"/>
      <c r="F80" s="315"/>
      <c r="G80" s="316"/>
      <c r="H80" s="317"/>
      <c r="I80" s="317"/>
      <c r="J80" s="305"/>
      <c r="AE80" s="1"/>
    </row>
    <row r="81" spans="1:31" ht="16.5">
      <c r="A81" s="319"/>
      <c r="B81" s="305"/>
      <c r="C81" s="305"/>
      <c r="D81" s="279" t="s">
        <v>200</v>
      </c>
      <c r="E81" s="279" t="s">
        <v>201</v>
      </c>
      <c r="F81" s="279" t="s">
        <v>202</v>
      </c>
      <c r="G81" s="279" t="s">
        <v>203</v>
      </c>
      <c r="H81" s="276" t="s">
        <v>204</v>
      </c>
      <c r="I81" s="317"/>
      <c r="J81" s="305"/>
      <c r="AE81" s="1"/>
    </row>
    <row r="82" spans="1:31" ht="16.5">
      <c r="A82" s="319" t="s">
        <v>295</v>
      </c>
      <c r="B82" s="305"/>
      <c r="C82" s="279" t="s">
        <v>252</v>
      </c>
      <c r="D82" s="317"/>
      <c r="E82" s="280" t="str">
        <f>VLOOKUP($Z$265,$Z$277:$AC$286,3,1)</f>
        <v>5/8"</v>
      </c>
      <c r="F82" s="280">
        <f>VLOOKUP($Z$265,$Z$277:$AC$286,4,1)</f>
        <v>1.99</v>
      </c>
      <c r="G82" s="326">
        <f>ROUNDUP(E71/F82,3)</f>
        <v>1.3809999999999998</v>
      </c>
      <c r="H82" s="282">
        <f>G82*F82</f>
        <v>2.7481899999999997</v>
      </c>
      <c r="I82" s="317"/>
      <c r="J82" s="305"/>
      <c r="AE82" s="1"/>
    </row>
    <row r="83" spans="1:31" ht="12.75">
      <c r="A83" s="305"/>
      <c r="B83" s="305"/>
      <c r="C83" s="314"/>
      <c r="D83" s="514"/>
      <c r="E83" s="514"/>
      <c r="F83" s="320"/>
      <c r="G83" s="317"/>
      <c r="H83" s="317"/>
      <c r="I83" s="317"/>
      <c r="J83" s="305"/>
      <c r="AE83" s="1"/>
    </row>
    <row r="84" spans="1:10" ht="16.5">
      <c r="A84" s="305"/>
      <c r="B84" s="305"/>
      <c r="C84" s="321"/>
      <c r="D84" s="275" t="s">
        <v>205</v>
      </c>
      <c r="E84" s="338">
        <f>G82</f>
        <v>1.3809999999999998</v>
      </c>
      <c r="F84" s="285" t="s">
        <v>210</v>
      </c>
      <c r="G84" s="337">
        <f>VLOOKUP($Z$265,$Z$277:$AC$286,2,1)</f>
        <v>5</v>
      </c>
      <c r="H84" s="276" t="s">
        <v>274</v>
      </c>
      <c r="I84" s="277"/>
      <c r="J84" s="305"/>
    </row>
    <row r="85" spans="1:10" ht="13.5">
      <c r="A85" s="305"/>
      <c r="B85" s="305"/>
      <c r="C85" s="321"/>
      <c r="D85" s="321"/>
      <c r="E85" s="321"/>
      <c r="F85" s="321"/>
      <c r="G85" s="321"/>
      <c r="H85" s="317"/>
      <c r="I85" s="317"/>
      <c r="J85" s="305"/>
    </row>
    <row r="86" spans="1:10" ht="13.5">
      <c r="A86" s="305"/>
      <c r="B86" s="305"/>
      <c r="C86" s="321"/>
      <c r="D86" s="279" t="s">
        <v>200</v>
      </c>
      <c r="E86" s="279" t="s">
        <v>201</v>
      </c>
      <c r="F86" s="279" t="s">
        <v>202</v>
      </c>
      <c r="G86" s="279" t="s">
        <v>203</v>
      </c>
      <c r="H86" s="276" t="s">
        <v>204</v>
      </c>
      <c r="I86" s="317"/>
      <c r="J86" s="305"/>
    </row>
    <row r="87" spans="1:10" ht="15">
      <c r="A87" s="305"/>
      <c r="B87" s="305"/>
      <c r="C87" s="279" t="s">
        <v>253</v>
      </c>
      <c r="D87" s="317"/>
      <c r="E87" s="280" t="str">
        <f>VLOOKUP($Z$274,$Z$277:$AC$286,3,1)</f>
        <v>5/8"</v>
      </c>
      <c r="F87" s="280">
        <f>VLOOKUP($Z$274,$Z$277:$AC$286,4,1)</f>
        <v>1.99</v>
      </c>
      <c r="G87" s="326">
        <f>ROUNDUP(E72/F87,3)</f>
        <v>0</v>
      </c>
      <c r="H87" s="282">
        <f>G87*F87</f>
        <v>0</v>
      </c>
      <c r="I87" s="317"/>
      <c r="J87" s="305"/>
    </row>
    <row r="88" spans="1:10" ht="12.75">
      <c r="A88" s="305"/>
      <c r="B88" s="305"/>
      <c r="C88" s="321"/>
      <c r="D88" s="514"/>
      <c r="E88" s="514"/>
      <c r="F88" s="320"/>
      <c r="G88" s="317"/>
      <c r="H88" s="317"/>
      <c r="I88" s="317"/>
      <c r="J88" s="305"/>
    </row>
    <row r="89" spans="1:10" ht="16.5">
      <c r="A89" s="305"/>
      <c r="B89" s="305"/>
      <c r="C89" s="321"/>
      <c r="D89" s="275" t="s">
        <v>205</v>
      </c>
      <c r="E89" s="338">
        <f>G87</f>
        <v>0</v>
      </c>
      <c r="F89" s="285" t="s">
        <v>210</v>
      </c>
      <c r="G89" s="337">
        <f>VLOOKUP($Z$274,$Z$277:$AC$286,2,1)</f>
        <v>5</v>
      </c>
      <c r="H89" s="276" t="s">
        <v>275</v>
      </c>
      <c r="I89" s="277"/>
      <c r="J89" s="305"/>
    </row>
    <row r="90" spans="1:10" ht="13.5">
      <c r="A90" s="305"/>
      <c r="B90" s="305"/>
      <c r="C90" s="321"/>
      <c r="D90" s="317"/>
      <c r="E90" s="317"/>
      <c r="F90" s="317"/>
      <c r="G90" s="317"/>
      <c r="H90" s="317"/>
      <c r="I90" s="317"/>
      <c r="J90" s="305"/>
    </row>
    <row r="91" spans="1:10" ht="13.5">
      <c r="A91" s="305"/>
      <c r="B91" s="305"/>
      <c r="C91" s="305"/>
      <c r="D91" s="279" t="s">
        <v>200</v>
      </c>
      <c r="E91" s="279" t="s">
        <v>201</v>
      </c>
      <c r="F91" s="279" t="s">
        <v>202</v>
      </c>
      <c r="G91" s="279" t="s">
        <v>203</v>
      </c>
      <c r="H91" s="276" t="s">
        <v>204</v>
      </c>
      <c r="I91" s="317"/>
      <c r="J91" s="305"/>
    </row>
    <row r="92" spans="1:10" ht="15">
      <c r="A92" s="305"/>
      <c r="B92" s="306"/>
      <c r="C92" s="279" t="s">
        <v>254</v>
      </c>
      <c r="D92" s="317"/>
      <c r="E92" s="280" t="str">
        <f>VLOOKUP($Z$273,$Z$277:$AC$286,3,1)</f>
        <v>1/2"</v>
      </c>
      <c r="F92" s="280">
        <f>VLOOKUP($Z$273,$Z$277:$AC$286,4,1)</f>
        <v>1.27</v>
      </c>
      <c r="G92" s="326">
        <f>ROUNDUP(E73/F92,3)</f>
        <v>0</v>
      </c>
      <c r="H92" s="282">
        <f>G92*F92</f>
        <v>0</v>
      </c>
      <c r="I92" s="317"/>
      <c r="J92" s="305"/>
    </row>
    <row r="93" spans="1:10" ht="12.75">
      <c r="A93" s="305"/>
      <c r="B93" s="305"/>
      <c r="C93" s="305"/>
      <c r="D93" s="514"/>
      <c r="E93" s="514"/>
      <c r="F93" s="320"/>
      <c r="G93" s="317"/>
      <c r="H93" s="317"/>
      <c r="I93" s="317"/>
      <c r="J93" s="305"/>
    </row>
    <row r="94" spans="2:9" ht="16.5">
      <c r="B94" s="305"/>
      <c r="C94" s="305"/>
      <c r="D94" s="275" t="s">
        <v>205</v>
      </c>
      <c r="E94" s="338">
        <f>G92</f>
        <v>0</v>
      </c>
      <c r="F94" s="285" t="s">
        <v>210</v>
      </c>
      <c r="G94" s="337">
        <f>VLOOKUP($Z$273,$Z$277:$AC$286,2,1)</f>
        <v>4</v>
      </c>
      <c r="H94" s="276" t="s">
        <v>276</v>
      </c>
      <c r="I94" s="277"/>
    </row>
    <row r="95" spans="2:6" ht="12.75">
      <c r="B95" s="305"/>
      <c r="C95" s="305"/>
      <c r="D95" s="305"/>
      <c r="E95" s="305"/>
      <c r="F95" s="305"/>
    </row>
    <row r="96" spans="2:9" ht="13.5">
      <c r="B96" s="307"/>
      <c r="C96" s="308"/>
      <c r="D96" s="279" t="s">
        <v>200</v>
      </c>
      <c r="E96" s="279" t="s">
        <v>201</v>
      </c>
      <c r="F96" s="279" t="s">
        <v>202</v>
      </c>
      <c r="G96" s="279" t="s">
        <v>203</v>
      </c>
      <c r="H96" s="276" t="s">
        <v>204</v>
      </c>
      <c r="I96" s="317"/>
    </row>
    <row r="97" spans="2:9" ht="15">
      <c r="B97" s="305"/>
      <c r="C97" s="279" t="s">
        <v>255</v>
      </c>
      <c r="D97" s="317"/>
      <c r="E97" s="280" t="str">
        <f>VLOOKUP($Z$272,$Z$277:$AC$286,3,1)</f>
        <v>1/2"</v>
      </c>
      <c r="F97" s="280">
        <f>VLOOKUP($Z$272,$Z$277:$AC$286,4,1)</f>
        <v>1.27</v>
      </c>
      <c r="G97" s="326">
        <f>ROUNDUP(E74/F97,3)</f>
        <v>0</v>
      </c>
      <c r="H97" s="282">
        <f>G97*F97</f>
        <v>0</v>
      </c>
      <c r="I97" s="317"/>
    </row>
    <row r="98" spans="2:9" ht="12.75">
      <c r="B98" s="305"/>
      <c r="C98" s="305"/>
      <c r="D98" s="514"/>
      <c r="E98" s="514"/>
      <c r="F98" s="320"/>
      <c r="G98" s="317"/>
      <c r="H98" s="317"/>
      <c r="I98" s="317"/>
    </row>
    <row r="99" spans="2:9" ht="16.5">
      <c r="B99" s="305"/>
      <c r="C99" s="305"/>
      <c r="D99" s="275" t="s">
        <v>205</v>
      </c>
      <c r="E99" s="338">
        <f>G97</f>
        <v>0</v>
      </c>
      <c r="F99" s="285" t="s">
        <v>210</v>
      </c>
      <c r="G99" s="337">
        <f>VLOOKUP($Z$272,$Z$277:$AC$286,2,1)</f>
        <v>4</v>
      </c>
      <c r="H99" s="276" t="s">
        <v>277</v>
      </c>
      <c r="I99" s="277"/>
    </row>
    <row r="100" spans="2:6" ht="13.5">
      <c r="B100" s="307"/>
      <c r="C100" s="311"/>
      <c r="D100" s="305"/>
      <c r="E100" s="305"/>
      <c r="F100" s="305"/>
    </row>
    <row r="101" spans="2:6" ht="12.75">
      <c r="B101" s="309"/>
      <c r="C101" s="310"/>
      <c r="D101" s="305"/>
      <c r="E101" s="305"/>
      <c r="F101" s="305"/>
    </row>
    <row r="102" spans="2:6" ht="12.75">
      <c r="B102" s="305"/>
      <c r="C102" s="305"/>
      <c r="D102" s="305"/>
      <c r="E102" s="305"/>
      <c r="F102" s="305"/>
    </row>
    <row r="103" spans="2:6" ht="16.5">
      <c r="B103" s="307"/>
      <c r="C103" s="312"/>
      <c r="D103" s="313"/>
      <c r="E103" s="312"/>
      <c r="F103" s="47"/>
    </row>
    <row r="104" spans="2:6" ht="12.75">
      <c r="B104" s="305"/>
      <c r="C104" s="305"/>
      <c r="D104" s="305"/>
      <c r="E104" s="305"/>
      <c r="F104" s="305"/>
    </row>
    <row r="105" spans="2:6" ht="12.75">
      <c r="B105" s="305"/>
      <c r="C105" s="305"/>
      <c r="D105" s="305"/>
      <c r="E105" s="305"/>
      <c r="F105" s="305"/>
    </row>
    <row r="106" spans="2:6" ht="12.75">
      <c r="B106" s="305"/>
      <c r="C106" s="305"/>
      <c r="D106" s="305"/>
      <c r="E106" s="305"/>
      <c r="F106" s="305"/>
    </row>
    <row r="107" spans="2:6" ht="12.75">
      <c r="B107" s="305"/>
      <c r="C107" s="305"/>
      <c r="D107" s="305"/>
      <c r="E107" s="305"/>
      <c r="F107" s="305"/>
    </row>
    <row r="108" spans="2:6" ht="12.75">
      <c r="B108" s="305"/>
      <c r="C108" s="305"/>
      <c r="D108" s="305"/>
      <c r="E108" s="305"/>
      <c r="F108" s="305"/>
    </row>
    <row r="109" spans="2:6" ht="12.75">
      <c r="B109" s="305"/>
      <c r="C109" s="305"/>
      <c r="D109" s="305"/>
      <c r="E109" s="305"/>
      <c r="F109" s="305"/>
    </row>
    <row r="110" spans="2:6" ht="12.75">
      <c r="B110" s="305"/>
      <c r="C110" s="305"/>
      <c r="D110" s="305"/>
      <c r="E110" s="305"/>
      <c r="F110" s="305"/>
    </row>
    <row r="118" spans="1:10" ht="19.5">
      <c r="A118" s="513" t="s">
        <v>261</v>
      </c>
      <c r="B118" s="513"/>
      <c r="C118" s="513"/>
      <c r="D118" s="513"/>
      <c r="E118" s="513"/>
      <c r="F118" s="513"/>
      <c r="G118" s="513"/>
      <c r="H118" s="513"/>
      <c r="I118" s="513"/>
      <c r="J118" s="513"/>
    </row>
    <row r="120" ht="16.5">
      <c r="A120" s="288" t="s">
        <v>262</v>
      </c>
    </row>
    <row r="121" spans="3:9" ht="16.5">
      <c r="C121" s="288"/>
      <c r="G121" s="19" t="s">
        <v>263</v>
      </c>
      <c r="H121" s="285">
        <f>MAX(MARCO_EQUIVALENTE!T30/4,MARCO_EQUIVALENTE!T37/4)</f>
        <v>140</v>
      </c>
      <c r="I121" t="s">
        <v>3</v>
      </c>
    </row>
    <row r="122" spans="3:8" ht="15">
      <c r="C122" s="19"/>
      <c r="D122" s="275" t="s">
        <v>257</v>
      </c>
      <c r="E122" s="289">
        <f>MAX(E64,E64)</f>
        <v>28413.35214777614</v>
      </c>
      <c r="F122" s="276" t="s">
        <v>9</v>
      </c>
      <c r="G122" s="128"/>
      <c r="H122" s="287"/>
    </row>
    <row r="123" spans="3:9" ht="15">
      <c r="C123" s="274"/>
      <c r="D123" s="275" t="s">
        <v>269</v>
      </c>
      <c r="E123" s="289">
        <f>0.4*E122</f>
        <v>11365.340859110456</v>
      </c>
      <c r="F123" s="276" t="s">
        <v>9</v>
      </c>
      <c r="G123" s="277"/>
      <c r="H123" s="277"/>
      <c r="I123" s="277"/>
    </row>
    <row r="124" spans="3:9" ht="13.5">
      <c r="C124" s="274"/>
      <c r="D124" s="277"/>
      <c r="E124" s="277"/>
      <c r="F124" s="277"/>
      <c r="G124" s="275" t="s">
        <v>209</v>
      </c>
      <c r="H124" s="283">
        <f>H66</f>
        <v>4200</v>
      </c>
      <c r="I124" s="276" t="s">
        <v>8</v>
      </c>
    </row>
    <row r="125" spans="3:9" ht="13.5">
      <c r="C125" s="274"/>
      <c r="D125" s="275" t="s">
        <v>196</v>
      </c>
      <c r="E125" s="284">
        <f>0.847-(0.719-((E123*100)/(0.53*H125*H127*(H126)^2)))^0.5</f>
        <v>0.08284821821950139</v>
      </c>
      <c r="F125" s="284">
        <f>0.847-(0.719-((E123*100)/(0.53*H125*H127*(H68)^2)))^0.5</f>
        <v>0.08284821821950139</v>
      </c>
      <c r="G125" s="275" t="s">
        <v>206</v>
      </c>
      <c r="H125" s="283">
        <f>H67</f>
        <v>300</v>
      </c>
      <c r="I125" s="276" t="s">
        <v>8</v>
      </c>
    </row>
    <row r="126" spans="3:9" ht="13.5">
      <c r="C126" s="274"/>
      <c r="D126" s="278" t="s">
        <v>197</v>
      </c>
      <c r="E126" s="284">
        <f>E125*(H125/H124)</f>
        <v>0.005917729872821528</v>
      </c>
      <c r="F126" s="284">
        <f>F125*(H125/H124)</f>
        <v>0.005917729872821528</v>
      </c>
      <c r="G126" s="275" t="s">
        <v>208</v>
      </c>
      <c r="H126" s="283">
        <f>H68</f>
        <v>42</v>
      </c>
      <c r="I126" t="s">
        <v>3</v>
      </c>
    </row>
    <row r="127" spans="3:9" ht="13.5">
      <c r="C127" s="278"/>
      <c r="D127" s="278" t="s">
        <v>303</v>
      </c>
      <c r="E127" s="2">
        <v>0.0033</v>
      </c>
      <c r="F127" s="277"/>
      <c r="G127" s="275" t="s">
        <v>207</v>
      </c>
      <c r="H127" s="283">
        <f>SUM(MARCO_EQUIVALENTE!AV16:AZ16)</f>
        <v>30</v>
      </c>
      <c r="I127" t="s">
        <v>270</v>
      </c>
    </row>
    <row r="128" spans="3:8" ht="13.5">
      <c r="C128" s="275" t="s">
        <v>198</v>
      </c>
      <c r="D128" s="275" t="s">
        <v>239</v>
      </c>
      <c r="E128" s="286">
        <f>MAX(F126,E127)*H128*H126</f>
        <v>0</v>
      </c>
      <c r="F128" s="276" t="s">
        <v>211</v>
      </c>
      <c r="G128" s="275" t="s">
        <v>234</v>
      </c>
      <c r="H128" s="283">
        <f>MARCO_EQUIVALENTE!AV16</f>
        <v>0</v>
      </c>
    </row>
    <row r="129" spans="3:11" ht="13.5">
      <c r="C129" s="304"/>
      <c r="D129" s="275" t="s">
        <v>248</v>
      </c>
      <c r="E129" s="286">
        <f>MAX(E126,E127)*H129*H126</f>
        <v>0</v>
      </c>
      <c r="F129" s="276" t="s">
        <v>211</v>
      </c>
      <c r="G129" s="275" t="s">
        <v>235</v>
      </c>
      <c r="H129" s="283">
        <f>MARCO_EQUIVALENTE!AW16</f>
        <v>0</v>
      </c>
      <c r="J129" s="7"/>
      <c r="K129" s="7"/>
    </row>
    <row r="130" spans="3:10" ht="13.5">
      <c r="C130" s="274"/>
      <c r="D130" s="275" t="s">
        <v>249</v>
      </c>
      <c r="E130" s="286">
        <f>MAX(E126,E127)*H130*H126</f>
        <v>3.728169819877562</v>
      </c>
      <c r="F130" s="276" t="s">
        <v>211</v>
      </c>
      <c r="G130" s="275" t="s">
        <v>236</v>
      </c>
      <c r="H130" s="283">
        <f>MARCO_EQUIVALENTE!AX16</f>
        <v>15</v>
      </c>
      <c r="I130" s="2"/>
      <c r="J130" s="2"/>
    </row>
    <row r="131" spans="4:8" ht="13.5">
      <c r="D131" s="275" t="s">
        <v>250</v>
      </c>
      <c r="E131" s="286">
        <f>MAX(E126,E127)*H131*H126</f>
        <v>3.728169819877562</v>
      </c>
      <c r="F131" s="276" t="s">
        <v>211</v>
      </c>
      <c r="G131" s="275" t="s">
        <v>237</v>
      </c>
      <c r="H131" s="283">
        <f>MARCO_EQUIVALENTE!AY16</f>
        <v>15</v>
      </c>
    </row>
    <row r="132" spans="3:9" ht="13.5">
      <c r="C132" s="274"/>
      <c r="D132" s="275" t="s">
        <v>251</v>
      </c>
      <c r="E132" s="286">
        <f>MAX(E126,E127)*H132*H126</f>
        <v>0</v>
      </c>
      <c r="F132" s="276" t="s">
        <v>211</v>
      </c>
      <c r="G132" s="275" t="s">
        <v>238</v>
      </c>
      <c r="H132" s="283">
        <f>MARCO_EQUIVALENTE!AZ16</f>
        <v>0</v>
      </c>
      <c r="I132" s="277"/>
    </row>
    <row r="134" spans="3:9" ht="13.5">
      <c r="C134" s="274"/>
      <c r="D134" s="279" t="s">
        <v>200</v>
      </c>
      <c r="E134" s="279" t="s">
        <v>201</v>
      </c>
      <c r="F134" s="279" t="s">
        <v>202</v>
      </c>
      <c r="G134" s="279" t="s">
        <v>203</v>
      </c>
      <c r="H134" s="276" t="s">
        <v>204</v>
      </c>
      <c r="I134" s="277"/>
    </row>
    <row r="135" spans="3:9" ht="15">
      <c r="C135" s="279" t="s">
        <v>240</v>
      </c>
      <c r="D135" s="277"/>
      <c r="E135" s="280" t="str">
        <f>VLOOKUP($Z$271,$Z$277:$AC$286,3,1)</f>
        <v>1/2"</v>
      </c>
      <c r="F135" s="280">
        <f>VLOOKUP($Z$271,$Z$277:$AC$286,4,1)</f>
        <v>1.27</v>
      </c>
      <c r="G135" s="281">
        <f>ROUNDUP(E128/F135,0)</f>
        <v>0</v>
      </c>
      <c r="H135" s="282">
        <f>G135*F135</f>
        <v>0</v>
      </c>
      <c r="I135" s="277"/>
    </row>
    <row r="136" spans="3:9" ht="12.75">
      <c r="C136" s="274"/>
      <c r="D136" s="277"/>
      <c r="E136" s="277"/>
      <c r="F136" s="277"/>
      <c r="G136" s="277"/>
      <c r="H136" s="277"/>
      <c r="I136" s="277"/>
    </row>
    <row r="137" spans="1:10" ht="16.5">
      <c r="A137" s="305"/>
      <c r="B137" s="305"/>
      <c r="D137" s="275" t="s">
        <v>205</v>
      </c>
      <c r="E137" s="336">
        <f>G135</f>
        <v>0</v>
      </c>
      <c r="F137" s="285" t="s">
        <v>210</v>
      </c>
      <c r="G137" s="337">
        <f>VLOOKUP($Z$271,$Z$277:$AC$286,2,1)</f>
        <v>4</v>
      </c>
      <c r="H137" s="276" t="s">
        <v>278</v>
      </c>
      <c r="I137" s="277"/>
      <c r="J137" s="305"/>
    </row>
    <row r="138" spans="1:10" ht="16.5">
      <c r="A138" s="305"/>
      <c r="B138" s="305"/>
      <c r="C138" s="305"/>
      <c r="D138" s="314"/>
      <c r="E138" s="318"/>
      <c r="F138" s="315"/>
      <c r="G138" s="316"/>
      <c r="H138" s="317"/>
      <c r="I138" s="317"/>
      <c r="J138" s="305"/>
    </row>
    <row r="139" spans="1:10" ht="16.5">
      <c r="A139" s="319"/>
      <c r="B139" s="305"/>
      <c r="C139" s="305"/>
      <c r="D139" s="279" t="s">
        <v>200</v>
      </c>
      <c r="E139" s="279" t="s">
        <v>201</v>
      </c>
      <c r="F139" s="279" t="s">
        <v>202</v>
      </c>
      <c r="G139" s="279" t="s">
        <v>203</v>
      </c>
      <c r="H139" s="276" t="s">
        <v>204</v>
      </c>
      <c r="I139" s="317"/>
      <c r="J139" s="305"/>
    </row>
    <row r="140" spans="1:10" ht="16.5">
      <c r="A140" s="319"/>
      <c r="B140" s="305"/>
      <c r="C140" s="279" t="s">
        <v>252</v>
      </c>
      <c r="D140" s="317"/>
      <c r="E140" s="280" t="str">
        <f>VLOOKUP($Z$270,$Z$277:$AC$286,3,1)</f>
        <v>1/2"</v>
      </c>
      <c r="F140" s="280">
        <f>VLOOKUP($Z$270,$Z$277:$AC$286,4,1)</f>
        <v>1.27</v>
      </c>
      <c r="G140" s="326">
        <f>ROUNDUP(E129/F140,3)</f>
        <v>0</v>
      </c>
      <c r="H140" s="282">
        <f>G140*F140</f>
        <v>0</v>
      </c>
      <c r="I140" s="317"/>
      <c r="J140" s="305"/>
    </row>
    <row r="141" spans="1:10" ht="13.5">
      <c r="A141" s="305"/>
      <c r="B141" s="305"/>
      <c r="C141" s="314"/>
      <c r="D141" s="514"/>
      <c r="E141" s="514"/>
      <c r="F141" s="320"/>
      <c r="G141" s="317"/>
      <c r="H141" s="317"/>
      <c r="I141" s="317"/>
      <c r="J141" s="305"/>
    </row>
    <row r="142" spans="1:10" ht="16.5">
      <c r="A142" s="305"/>
      <c r="B142" s="305"/>
      <c r="C142" s="321"/>
      <c r="D142" s="275" t="s">
        <v>205</v>
      </c>
      <c r="E142" s="338">
        <f>G140</f>
        <v>0</v>
      </c>
      <c r="F142" s="285" t="s">
        <v>210</v>
      </c>
      <c r="G142" s="337">
        <f>VLOOKUP($Z$270,$Z$277:$AC$286,2,1)</f>
        <v>4</v>
      </c>
      <c r="H142" s="276" t="s">
        <v>274</v>
      </c>
      <c r="I142" s="277"/>
      <c r="J142" s="305"/>
    </row>
    <row r="143" spans="1:10" ht="13.5">
      <c r="A143" s="305"/>
      <c r="B143" s="305"/>
      <c r="C143" s="321"/>
      <c r="D143" s="321"/>
      <c r="E143" s="321"/>
      <c r="F143" s="321"/>
      <c r="G143" s="321"/>
      <c r="H143" s="317"/>
      <c r="I143" s="317"/>
      <c r="J143" s="305"/>
    </row>
    <row r="144" spans="1:10" ht="13.5">
      <c r="A144" s="305"/>
      <c r="B144" s="305"/>
      <c r="C144" s="321"/>
      <c r="D144" s="279" t="s">
        <v>200</v>
      </c>
      <c r="E144" s="279" t="s">
        <v>201</v>
      </c>
      <c r="F144" s="279" t="s">
        <v>202</v>
      </c>
      <c r="G144" s="279" t="s">
        <v>203</v>
      </c>
      <c r="H144" s="276" t="s">
        <v>204</v>
      </c>
      <c r="I144" s="317"/>
      <c r="J144" s="305"/>
    </row>
    <row r="145" spans="1:10" ht="15">
      <c r="A145" s="305"/>
      <c r="B145" s="305"/>
      <c r="C145" s="279" t="s">
        <v>253</v>
      </c>
      <c r="D145" s="317"/>
      <c r="E145" s="280" t="str">
        <f>VLOOKUP($Z$269,$Z$277:$AC$286,3,1)</f>
        <v>5/8"</v>
      </c>
      <c r="F145" s="280">
        <f>VLOOKUP($Z$269,$Z$277:$AC$286,4,1)</f>
        <v>1.99</v>
      </c>
      <c r="G145" s="326">
        <f>ROUNDUP(E130/F145,3)</f>
        <v>1.8739999999999999</v>
      </c>
      <c r="H145" s="282">
        <f>G145*F145</f>
        <v>3.7292599999999996</v>
      </c>
      <c r="I145" s="317"/>
      <c r="J145" s="305"/>
    </row>
    <row r="146" spans="1:10" ht="12.75">
      <c r="A146" s="305"/>
      <c r="B146" s="305"/>
      <c r="C146" s="321"/>
      <c r="D146" s="514"/>
      <c r="E146" s="514"/>
      <c r="F146" s="320"/>
      <c r="G146" s="317"/>
      <c r="H146" s="317"/>
      <c r="I146" s="317"/>
      <c r="J146" s="305"/>
    </row>
    <row r="147" spans="1:10" ht="16.5">
      <c r="A147" s="305"/>
      <c r="B147" s="305"/>
      <c r="C147" s="321"/>
      <c r="D147" s="275" t="s">
        <v>205</v>
      </c>
      <c r="E147" s="338">
        <f>G145</f>
        <v>1.8739999999999999</v>
      </c>
      <c r="F147" s="285" t="s">
        <v>210</v>
      </c>
      <c r="G147" s="337">
        <f>VLOOKUP($Z$269,$Z$277:$AC$286,2,1)</f>
        <v>5</v>
      </c>
      <c r="H147" s="276" t="s">
        <v>275</v>
      </c>
      <c r="I147" s="277"/>
      <c r="J147" s="305"/>
    </row>
    <row r="148" spans="1:10" ht="13.5">
      <c r="A148" s="305"/>
      <c r="B148" s="305"/>
      <c r="C148" s="321"/>
      <c r="D148" s="317"/>
      <c r="E148" s="317"/>
      <c r="F148" s="317"/>
      <c r="G148" s="317"/>
      <c r="H148" s="317"/>
      <c r="I148" s="317"/>
      <c r="J148" s="305"/>
    </row>
    <row r="149" spans="1:10" ht="13.5">
      <c r="A149" s="305"/>
      <c r="B149" s="305"/>
      <c r="C149" s="305"/>
      <c r="D149" s="279" t="s">
        <v>200</v>
      </c>
      <c r="E149" s="279" t="s">
        <v>201</v>
      </c>
      <c r="F149" s="279" t="s">
        <v>202</v>
      </c>
      <c r="G149" s="279" t="s">
        <v>203</v>
      </c>
      <c r="H149" s="276" t="s">
        <v>204</v>
      </c>
      <c r="I149" s="317"/>
      <c r="J149" s="305"/>
    </row>
    <row r="150" spans="1:10" ht="15">
      <c r="A150" s="305"/>
      <c r="B150" s="306"/>
      <c r="C150" s="279" t="s">
        <v>254</v>
      </c>
      <c r="D150" s="317"/>
      <c r="E150" s="280" t="str">
        <f>VLOOKUP($Z$268,$Z$277:$AC$286,3,1)</f>
        <v>5/8"</v>
      </c>
      <c r="F150" s="280">
        <f>VLOOKUP($Z$268,$Z$277:$AC$286,4,1)</f>
        <v>1.99</v>
      </c>
      <c r="G150" s="326">
        <f>ROUNDUP(E131/F150,3)</f>
        <v>1.8739999999999999</v>
      </c>
      <c r="H150" s="282">
        <f>G150*F150</f>
        <v>3.7292599999999996</v>
      </c>
      <c r="I150" s="317"/>
      <c r="J150" s="305"/>
    </row>
    <row r="151" spans="1:10" ht="12.75">
      <c r="A151" s="305"/>
      <c r="B151" s="305"/>
      <c r="C151" s="305"/>
      <c r="D151" s="514"/>
      <c r="E151" s="514"/>
      <c r="F151" s="320"/>
      <c r="G151" s="317"/>
      <c r="H151" s="317"/>
      <c r="I151" s="317"/>
      <c r="J151" s="305"/>
    </row>
    <row r="152" spans="2:9" ht="16.5">
      <c r="B152" s="305"/>
      <c r="C152" s="305"/>
      <c r="D152" s="275" t="s">
        <v>205</v>
      </c>
      <c r="E152" s="338">
        <f>G150</f>
        <v>1.8739999999999999</v>
      </c>
      <c r="F152" s="285" t="s">
        <v>210</v>
      </c>
      <c r="G152" s="337">
        <f>VLOOKUP($Z$268,$Z$277:$AC$286,2,1)</f>
        <v>5</v>
      </c>
      <c r="H152" s="276" t="s">
        <v>276</v>
      </c>
      <c r="I152" s="277"/>
    </row>
    <row r="153" spans="2:6" ht="12.75">
      <c r="B153" s="305"/>
      <c r="C153" s="305"/>
      <c r="D153" s="305"/>
      <c r="E153" s="305"/>
      <c r="F153" s="305"/>
    </row>
    <row r="154" spans="2:9" ht="13.5">
      <c r="B154" s="307"/>
      <c r="C154" s="308"/>
      <c r="D154" s="279" t="s">
        <v>200</v>
      </c>
      <c r="E154" s="279" t="s">
        <v>201</v>
      </c>
      <c r="F154" s="279" t="s">
        <v>202</v>
      </c>
      <c r="G154" s="279" t="s">
        <v>203</v>
      </c>
      <c r="H154" s="276" t="s">
        <v>204</v>
      </c>
      <c r="I154" s="317"/>
    </row>
    <row r="155" spans="2:9" ht="15">
      <c r="B155" s="305"/>
      <c r="C155" s="279" t="s">
        <v>255</v>
      </c>
      <c r="D155" s="317"/>
      <c r="E155" s="280" t="str">
        <f>VLOOKUP($Z$267,$Z$277:$AC$286,3,1)</f>
        <v>1/2"</v>
      </c>
      <c r="F155" s="280">
        <f>VLOOKUP($Z$267,$Z$277:$AC$286,4,1)</f>
        <v>1.27</v>
      </c>
      <c r="G155" s="326">
        <f>ROUNDUP(E132/F155,3)</f>
        <v>0</v>
      </c>
      <c r="H155" s="282">
        <f>G155*F155</f>
        <v>0</v>
      </c>
      <c r="I155" s="317"/>
    </row>
    <row r="156" spans="2:9" ht="12.75">
      <c r="B156" s="305"/>
      <c r="C156" s="305"/>
      <c r="D156" s="514"/>
      <c r="E156" s="514"/>
      <c r="F156" s="320"/>
      <c r="G156" s="317"/>
      <c r="H156" s="317"/>
      <c r="I156" s="317"/>
    </row>
    <row r="157" spans="2:9" ht="16.5">
      <c r="B157" s="305"/>
      <c r="C157" s="305"/>
      <c r="D157" s="275" t="s">
        <v>205</v>
      </c>
      <c r="E157" s="338">
        <f>G155</f>
        <v>0</v>
      </c>
      <c r="F157" s="285" t="s">
        <v>210</v>
      </c>
      <c r="G157" s="337">
        <f>VLOOKUP($Z$267,$Z$277:$AC$286,2,1)</f>
        <v>4</v>
      </c>
      <c r="H157" s="276" t="s">
        <v>277</v>
      </c>
      <c r="I157" s="277"/>
    </row>
    <row r="158" spans="2:6" ht="13.5">
      <c r="B158" s="307"/>
      <c r="C158" s="311"/>
      <c r="D158" s="305"/>
      <c r="E158" s="305"/>
      <c r="F158" s="305"/>
    </row>
    <row r="159" spans="2:6" ht="12.75">
      <c r="B159" s="309"/>
      <c r="C159" s="310"/>
      <c r="D159" s="305"/>
      <c r="E159" s="305"/>
      <c r="F159" s="305"/>
    </row>
    <row r="160" spans="2:6" ht="12.75">
      <c r="B160" s="305"/>
      <c r="C160" s="305"/>
      <c r="D160" s="305"/>
      <c r="E160" s="305"/>
      <c r="F160" s="305"/>
    </row>
    <row r="161" spans="2:6" ht="16.5">
      <c r="B161" s="307"/>
      <c r="C161" s="312"/>
      <c r="D161" s="313"/>
      <c r="E161" s="312"/>
      <c r="F161" s="47"/>
    </row>
    <row r="162" spans="2:6" ht="12.75">
      <c r="B162" s="305"/>
      <c r="C162" s="305"/>
      <c r="D162" s="305"/>
      <c r="E162" s="305"/>
      <c r="F162" s="305"/>
    </row>
    <row r="163" spans="2:6" ht="12.75">
      <c r="B163" s="305"/>
      <c r="C163" s="305"/>
      <c r="D163" s="305"/>
      <c r="E163" s="305"/>
      <c r="F163" s="305"/>
    </row>
    <row r="164" spans="2:6" ht="12.75">
      <c r="B164" s="305"/>
      <c r="C164" s="305"/>
      <c r="D164" s="305"/>
      <c r="E164" s="305"/>
      <c r="F164" s="305"/>
    </row>
    <row r="165" spans="2:6" ht="12.75">
      <c r="B165" s="305"/>
      <c r="C165" s="305"/>
      <c r="D165" s="305"/>
      <c r="E165" s="305"/>
      <c r="F165" s="305"/>
    </row>
    <row r="166" spans="2:6" ht="12.75">
      <c r="B166" s="305"/>
      <c r="C166" s="305"/>
      <c r="D166" s="305"/>
      <c r="E166" s="305"/>
      <c r="F166" s="305"/>
    </row>
    <row r="167" spans="2:6" ht="12.75">
      <c r="B167" s="305"/>
      <c r="C167" s="305"/>
      <c r="D167" s="305"/>
      <c r="E167" s="305"/>
      <c r="F167" s="305"/>
    </row>
    <row r="168" spans="2:6" ht="12.75">
      <c r="B168" s="305"/>
      <c r="C168" s="305"/>
      <c r="D168" s="305"/>
      <c r="E168" s="305"/>
      <c r="F168" s="305"/>
    </row>
    <row r="194" ht="14.25">
      <c r="E194" s="175"/>
    </row>
    <row r="215" ht="14.25">
      <c r="E215" s="175"/>
    </row>
    <row r="265" ht="12.75">
      <c r="Z265">
        <v>4</v>
      </c>
    </row>
    <row r="266" ht="12.75">
      <c r="Z266">
        <v>4</v>
      </c>
    </row>
    <row r="267" ht="12.75">
      <c r="Z267">
        <v>3</v>
      </c>
    </row>
    <row r="268" ht="12.75">
      <c r="Z268">
        <v>4</v>
      </c>
    </row>
    <row r="269" ht="12.75">
      <c r="Z269">
        <v>4</v>
      </c>
    </row>
    <row r="270" ht="12.75">
      <c r="Z270">
        <v>3</v>
      </c>
    </row>
    <row r="271" ht="12.75">
      <c r="Z271">
        <v>3</v>
      </c>
    </row>
    <row r="272" ht="12.75">
      <c r="Z272">
        <v>3</v>
      </c>
    </row>
    <row r="273" ht="12.75">
      <c r="Z273">
        <v>3</v>
      </c>
    </row>
    <row r="274" ht="12.75">
      <c r="Z274">
        <v>4</v>
      </c>
    </row>
    <row r="275" ht="13.5" thickBot="1">
      <c r="Z275">
        <v>3</v>
      </c>
    </row>
    <row r="276" spans="26:29" ht="15">
      <c r="Z276" s="264">
        <v>4</v>
      </c>
      <c r="AA276" s="265" t="s">
        <v>182</v>
      </c>
      <c r="AB276" s="265" t="s">
        <v>183</v>
      </c>
      <c r="AC276" s="266" t="s">
        <v>184</v>
      </c>
    </row>
    <row r="277" spans="26:29" ht="15">
      <c r="Z277" s="267">
        <v>1</v>
      </c>
      <c r="AA277" s="268">
        <v>2.5</v>
      </c>
      <c r="AB277" s="269" t="s">
        <v>185</v>
      </c>
      <c r="AC277" s="270">
        <v>0.49</v>
      </c>
    </row>
    <row r="278" spans="26:29" ht="15">
      <c r="Z278" s="267">
        <v>2</v>
      </c>
      <c r="AA278" s="269">
        <v>3</v>
      </c>
      <c r="AB278" s="269" t="s">
        <v>186</v>
      </c>
      <c r="AC278" s="270">
        <v>0.71</v>
      </c>
    </row>
    <row r="279" spans="26:29" ht="15">
      <c r="Z279" s="267">
        <v>3</v>
      </c>
      <c r="AA279" s="269">
        <v>4</v>
      </c>
      <c r="AB279" s="269" t="s">
        <v>187</v>
      </c>
      <c r="AC279" s="270">
        <v>1.27</v>
      </c>
    </row>
    <row r="280" spans="26:29" ht="15">
      <c r="Z280" s="267">
        <v>4</v>
      </c>
      <c r="AA280" s="269">
        <v>5</v>
      </c>
      <c r="AB280" s="269" t="s">
        <v>188</v>
      </c>
      <c r="AC280" s="270">
        <v>1.99</v>
      </c>
    </row>
    <row r="281" spans="26:29" ht="15">
      <c r="Z281" s="267">
        <v>5</v>
      </c>
      <c r="AA281" s="269">
        <v>6</v>
      </c>
      <c r="AB281" s="269" t="s">
        <v>189</v>
      </c>
      <c r="AC281" s="270">
        <v>2.87</v>
      </c>
    </row>
    <row r="282" spans="26:29" ht="15">
      <c r="Z282" s="267">
        <v>6</v>
      </c>
      <c r="AA282" s="269">
        <v>7</v>
      </c>
      <c r="AB282" s="269" t="s">
        <v>190</v>
      </c>
      <c r="AC282" s="270">
        <v>3.87</v>
      </c>
    </row>
    <row r="283" spans="26:29" ht="15">
      <c r="Z283" s="267">
        <v>7</v>
      </c>
      <c r="AA283" s="269">
        <v>8</v>
      </c>
      <c r="AB283" s="269" t="s">
        <v>191</v>
      </c>
      <c r="AC283" s="270">
        <v>5.07</v>
      </c>
    </row>
    <row r="284" spans="26:29" ht="15">
      <c r="Z284" s="267">
        <v>8</v>
      </c>
      <c r="AA284" s="269">
        <v>9</v>
      </c>
      <c r="AB284" s="269" t="s">
        <v>192</v>
      </c>
      <c r="AC284" s="270">
        <v>6.42</v>
      </c>
    </row>
    <row r="285" spans="26:29" ht="15">
      <c r="Z285" s="267">
        <v>9</v>
      </c>
      <c r="AA285" s="269">
        <v>10</v>
      </c>
      <c r="AB285" s="269" t="s">
        <v>193</v>
      </c>
      <c r="AC285" s="270">
        <v>7.94</v>
      </c>
    </row>
    <row r="286" spans="26:29" ht="15.75" thickBot="1">
      <c r="Z286" s="271">
        <v>10</v>
      </c>
      <c r="AA286" s="272">
        <v>12</v>
      </c>
      <c r="AB286" s="272" t="s">
        <v>194</v>
      </c>
      <c r="AC286" s="273">
        <v>11.4</v>
      </c>
    </row>
  </sheetData>
  <mergeCells count="12">
    <mergeCell ref="D141:E141"/>
    <mergeCell ref="D146:E146"/>
    <mergeCell ref="D151:E151"/>
    <mergeCell ref="D156:E156"/>
    <mergeCell ref="D93:E93"/>
    <mergeCell ref="D98:E98"/>
    <mergeCell ref="D22:E22"/>
    <mergeCell ref="A118:J118"/>
    <mergeCell ref="A1:J1"/>
    <mergeCell ref="A60:J60"/>
    <mergeCell ref="D83:E83"/>
    <mergeCell ref="D88:E88"/>
  </mergeCells>
  <printOptions/>
  <pageMargins left="0.25" right="0.75" top="1" bottom="1" header="0" footer="0"/>
  <pageSetup horizontalDpi="600" verticalDpi="600" orientation="portrait" scale="76" r:id="rId3"/>
  <rowBreaks count="2" manualBreakCount="2">
    <brk id="58" max="48" man="1"/>
    <brk id="115" max="48" man="1"/>
  </rowBreaks>
  <colBreaks count="1" manualBreakCount="1">
    <brk id="12" max="172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JOSE ROBERTO VALDERRAMA G.</dc:creator>
  <cp:keywords/>
  <dc:description/>
  <cp:lastModifiedBy>Citizen X</cp:lastModifiedBy>
  <cp:lastPrinted>2003-03-15T00:15:53Z</cp:lastPrinted>
  <dcterms:created xsi:type="dcterms:W3CDTF">2002-08-27T12:59:24Z</dcterms:created>
  <dcterms:modified xsi:type="dcterms:W3CDTF">2006-02-20T19:55:29Z</dcterms:modified>
  <cp:category/>
  <cp:version/>
  <cp:contentType/>
  <cp:contentStatus/>
</cp:coreProperties>
</file>